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9200" windowHeight="6950"/>
  </bookViews>
  <sheets>
    <sheet name="البيانات الوصفية" sheetId="4" r:id="rId1"/>
    <sheet name="المتغيرات " sheetId="3" r:id="rId2"/>
    <sheet name="Insurance Financials Search Rep" sheetId="2" r:id="rId3"/>
  </sheets>
  <calcPr calcId="162913"/>
</workbook>
</file>

<file path=xl/calcChain.xml><?xml version="1.0" encoding="utf-8"?>
<calcChain xmlns="http://schemas.openxmlformats.org/spreadsheetml/2006/main">
  <c r="I200" i="2" l="1"/>
  <c r="H200" i="2"/>
  <c r="G200" i="2"/>
  <c r="F200" i="2"/>
  <c r="E200" i="2"/>
  <c r="D200" i="2"/>
  <c r="C200" i="2"/>
  <c r="B200" i="2"/>
  <c r="I199" i="2"/>
  <c r="H199" i="2"/>
  <c r="G199" i="2"/>
  <c r="F199" i="2"/>
  <c r="E199" i="2"/>
  <c r="D199" i="2"/>
  <c r="C199" i="2"/>
  <c r="B199" i="2"/>
  <c r="I198" i="2"/>
  <c r="H198" i="2"/>
  <c r="G198" i="2"/>
  <c r="F198" i="2"/>
  <c r="E198" i="2"/>
  <c r="D198" i="2"/>
  <c r="C198" i="2"/>
  <c r="B198" i="2"/>
  <c r="I197" i="2"/>
  <c r="H197" i="2"/>
  <c r="G197" i="2"/>
  <c r="F197" i="2"/>
  <c r="E197" i="2"/>
  <c r="D197" i="2"/>
  <c r="C197" i="2"/>
  <c r="B197" i="2"/>
  <c r="I196" i="2"/>
  <c r="H196" i="2"/>
  <c r="G196" i="2"/>
  <c r="F196" i="2"/>
  <c r="E196" i="2"/>
  <c r="D196" i="2"/>
  <c r="C196" i="2"/>
  <c r="B196" i="2"/>
  <c r="I195" i="2"/>
  <c r="H195" i="2"/>
  <c r="G195" i="2"/>
  <c r="F195" i="2"/>
  <c r="E195" i="2"/>
  <c r="D195" i="2"/>
  <c r="C195" i="2"/>
  <c r="B195" i="2"/>
  <c r="I194" i="2"/>
  <c r="H194" i="2"/>
  <c r="G194" i="2"/>
  <c r="F194" i="2"/>
  <c r="E194" i="2"/>
  <c r="D194" i="2"/>
  <c r="C194" i="2"/>
  <c r="B194" i="2"/>
  <c r="I193" i="2"/>
  <c r="H193" i="2"/>
  <c r="G193" i="2"/>
  <c r="F193" i="2"/>
  <c r="E193" i="2"/>
  <c r="D193" i="2"/>
  <c r="C193" i="2"/>
  <c r="B193" i="2"/>
  <c r="I192" i="2"/>
  <c r="H192" i="2"/>
  <c r="G192" i="2"/>
  <c r="F192" i="2"/>
  <c r="E192" i="2"/>
  <c r="D192" i="2"/>
  <c r="C192" i="2"/>
  <c r="B192" i="2"/>
  <c r="I191" i="2"/>
  <c r="H191" i="2"/>
  <c r="G191" i="2"/>
  <c r="F191" i="2"/>
  <c r="E191" i="2"/>
  <c r="D191" i="2"/>
  <c r="C191" i="2"/>
  <c r="B191" i="2"/>
  <c r="I190" i="2"/>
  <c r="H190" i="2"/>
  <c r="G190" i="2"/>
  <c r="F190" i="2"/>
  <c r="E190" i="2"/>
  <c r="D190" i="2"/>
  <c r="C190" i="2"/>
  <c r="B190" i="2"/>
  <c r="I189" i="2"/>
  <c r="H189" i="2"/>
  <c r="G189" i="2"/>
  <c r="F189" i="2"/>
  <c r="E189" i="2"/>
  <c r="D189" i="2"/>
  <c r="C189" i="2"/>
  <c r="B189" i="2"/>
  <c r="I188" i="2"/>
  <c r="H188" i="2"/>
  <c r="G188" i="2"/>
  <c r="F188" i="2"/>
  <c r="E188" i="2"/>
  <c r="D188" i="2"/>
  <c r="C188" i="2"/>
  <c r="B188" i="2"/>
  <c r="I187" i="2"/>
  <c r="H187" i="2"/>
  <c r="G187" i="2"/>
  <c r="F187" i="2"/>
  <c r="E187" i="2"/>
  <c r="D187" i="2"/>
  <c r="C187" i="2"/>
  <c r="B187" i="2"/>
  <c r="I186" i="2"/>
  <c r="H186" i="2"/>
  <c r="G186" i="2"/>
  <c r="F186" i="2"/>
  <c r="E186" i="2"/>
  <c r="D186" i="2"/>
  <c r="C186" i="2"/>
  <c r="B186" i="2"/>
  <c r="I185" i="2"/>
  <c r="H185" i="2"/>
  <c r="G185" i="2"/>
  <c r="F185" i="2"/>
  <c r="E185" i="2"/>
  <c r="D185" i="2"/>
  <c r="C185" i="2"/>
  <c r="B185" i="2"/>
  <c r="I184" i="2"/>
  <c r="H184" i="2"/>
  <c r="G184" i="2"/>
  <c r="F184" i="2"/>
  <c r="E184" i="2"/>
  <c r="D184" i="2"/>
  <c r="C184" i="2"/>
  <c r="B184" i="2"/>
  <c r="I180" i="2"/>
  <c r="H180" i="2"/>
  <c r="G180" i="2"/>
  <c r="F180" i="2"/>
  <c r="E180" i="2"/>
  <c r="D180" i="2"/>
  <c r="C180" i="2"/>
  <c r="B180" i="2"/>
  <c r="I179" i="2"/>
  <c r="H179" i="2"/>
  <c r="G179" i="2"/>
  <c r="F179" i="2"/>
  <c r="E179" i="2"/>
  <c r="D179" i="2"/>
  <c r="C179" i="2"/>
  <c r="B179" i="2"/>
  <c r="I178" i="2"/>
  <c r="H178" i="2"/>
  <c r="G178" i="2"/>
  <c r="F178" i="2"/>
  <c r="E178" i="2"/>
  <c r="D178" i="2"/>
  <c r="C178" i="2"/>
  <c r="B178" i="2"/>
  <c r="I177" i="2"/>
  <c r="H177" i="2"/>
  <c r="G177" i="2"/>
  <c r="F177" i="2"/>
  <c r="E177" i="2"/>
  <c r="D177" i="2"/>
  <c r="C177" i="2"/>
  <c r="B177" i="2"/>
  <c r="I176" i="2"/>
  <c r="H176" i="2"/>
  <c r="G176" i="2"/>
  <c r="F176" i="2"/>
  <c r="E176" i="2"/>
  <c r="D176" i="2"/>
  <c r="C176" i="2"/>
  <c r="B176" i="2"/>
  <c r="I175" i="2"/>
  <c r="H175" i="2"/>
  <c r="G175" i="2"/>
  <c r="F175" i="2"/>
  <c r="E175" i="2"/>
  <c r="D175" i="2"/>
  <c r="C175" i="2"/>
  <c r="B175" i="2"/>
  <c r="I174" i="2"/>
  <c r="H174" i="2"/>
  <c r="G174" i="2"/>
  <c r="F174" i="2"/>
  <c r="E174" i="2"/>
  <c r="D174" i="2"/>
  <c r="C174" i="2"/>
  <c r="B174" i="2"/>
  <c r="I173" i="2"/>
  <c r="H173" i="2"/>
  <c r="G173" i="2"/>
  <c r="F173" i="2"/>
  <c r="E173" i="2"/>
  <c r="D173" i="2"/>
  <c r="C173" i="2"/>
  <c r="B173" i="2"/>
  <c r="I172" i="2"/>
  <c r="H172" i="2"/>
  <c r="G172" i="2"/>
  <c r="F172" i="2"/>
  <c r="E172" i="2"/>
  <c r="D172" i="2"/>
  <c r="C172" i="2"/>
  <c r="B172" i="2"/>
  <c r="I171" i="2"/>
  <c r="H171" i="2"/>
  <c r="G171" i="2"/>
  <c r="F171" i="2"/>
  <c r="E171" i="2"/>
  <c r="D171" i="2"/>
  <c r="C171" i="2"/>
  <c r="B171" i="2"/>
  <c r="I170" i="2"/>
  <c r="H170" i="2"/>
  <c r="G170" i="2"/>
  <c r="F170" i="2"/>
  <c r="E170" i="2"/>
  <c r="D170" i="2"/>
  <c r="C170" i="2"/>
  <c r="B170" i="2"/>
  <c r="I169" i="2"/>
  <c r="H169" i="2"/>
  <c r="G169" i="2"/>
  <c r="F169" i="2"/>
  <c r="E169" i="2"/>
  <c r="D169" i="2"/>
  <c r="C169" i="2"/>
  <c r="B169" i="2"/>
  <c r="I168" i="2"/>
  <c r="H168" i="2"/>
  <c r="G168" i="2"/>
  <c r="F168" i="2"/>
  <c r="E168" i="2"/>
  <c r="D168" i="2"/>
  <c r="C168" i="2"/>
  <c r="B168" i="2"/>
  <c r="I167" i="2"/>
  <c r="H167" i="2"/>
  <c r="G167" i="2"/>
  <c r="F167" i="2"/>
  <c r="E167" i="2"/>
  <c r="D167" i="2"/>
  <c r="C167" i="2"/>
  <c r="B167" i="2"/>
  <c r="I166" i="2"/>
  <c r="H166" i="2"/>
  <c r="G166" i="2"/>
  <c r="F166" i="2"/>
  <c r="E166" i="2"/>
  <c r="D166" i="2"/>
  <c r="C166" i="2"/>
  <c r="B166" i="2"/>
  <c r="I165" i="2"/>
  <c r="H165" i="2"/>
  <c r="G165" i="2"/>
  <c r="F165" i="2"/>
  <c r="E165" i="2"/>
  <c r="D165" i="2"/>
  <c r="C165" i="2"/>
  <c r="B165" i="2"/>
  <c r="I164" i="2"/>
  <c r="H164" i="2"/>
  <c r="G164" i="2"/>
  <c r="F164" i="2"/>
  <c r="E164" i="2"/>
  <c r="D164" i="2"/>
  <c r="C164" i="2"/>
  <c r="B164" i="2"/>
  <c r="I160" i="2"/>
  <c r="H160" i="2"/>
  <c r="G160" i="2"/>
  <c r="F160" i="2"/>
  <c r="E160" i="2"/>
  <c r="D160" i="2"/>
  <c r="C160" i="2"/>
  <c r="B160" i="2"/>
  <c r="I159" i="2"/>
  <c r="H159" i="2"/>
  <c r="G159" i="2"/>
  <c r="F159" i="2"/>
  <c r="E159" i="2"/>
  <c r="D159" i="2"/>
  <c r="C159" i="2"/>
  <c r="B159" i="2"/>
  <c r="I158" i="2"/>
  <c r="H158" i="2"/>
  <c r="G158" i="2"/>
  <c r="F158" i="2"/>
  <c r="E158" i="2"/>
  <c r="D158" i="2"/>
  <c r="C158" i="2"/>
  <c r="B158" i="2"/>
  <c r="I157" i="2"/>
  <c r="H157" i="2"/>
  <c r="G157" i="2"/>
  <c r="F157" i="2"/>
  <c r="E157" i="2"/>
  <c r="D157" i="2"/>
  <c r="C157" i="2"/>
  <c r="B157" i="2"/>
  <c r="I156" i="2"/>
  <c r="H156" i="2"/>
  <c r="G156" i="2"/>
  <c r="F156" i="2"/>
  <c r="E156" i="2"/>
  <c r="D156" i="2"/>
  <c r="C156" i="2"/>
  <c r="B156" i="2"/>
  <c r="I155" i="2"/>
  <c r="H155" i="2"/>
  <c r="G155" i="2"/>
  <c r="F155" i="2"/>
  <c r="E155" i="2"/>
  <c r="D155" i="2"/>
  <c r="C155" i="2"/>
  <c r="B155" i="2"/>
  <c r="I154" i="2"/>
  <c r="H154" i="2"/>
  <c r="G154" i="2"/>
  <c r="F154" i="2"/>
  <c r="E154" i="2"/>
  <c r="D154" i="2"/>
  <c r="C154" i="2"/>
  <c r="B154" i="2"/>
  <c r="I153" i="2"/>
  <c r="H153" i="2"/>
  <c r="G153" i="2"/>
  <c r="F153" i="2"/>
  <c r="E153" i="2"/>
  <c r="D153" i="2"/>
  <c r="C153" i="2"/>
  <c r="B153" i="2"/>
  <c r="I152" i="2"/>
  <c r="H152" i="2"/>
  <c r="G152" i="2"/>
  <c r="F152" i="2"/>
  <c r="E152" i="2"/>
  <c r="D152" i="2"/>
  <c r="C152" i="2"/>
  <c r="B152" i="2"/>
  <c r="I151" i="2"/>
  <c r="H151" i="2"/>
  <c r="G151" i="2"/>
  <c r="F151" i="2"/>
  <c r="E151" i="2"/>
  <c r="D151" i="2"/>
  <c r="C151" i="2"/>
  <c r="B151" i="2"/>
  <c r="I150" i="2"/>
  <c r="H150" i="2"/>
  <c r="G150" i="2"/>
  <c r="F150" i="2"/>
  <c r="E150" i="2"/>
  <c r="D150" i="2"/>
  <c r="C150" i="2"/>
  <c r="B150" i="2"/>
  <c r="I149" i="2"/>
  <c r="H149" i="2"/>
  <c r="G149" i="2"/>
  <c r="F149" i="2"/>
  <c r="E149" i="2"/>
  <c r="D149" i="2"/>
  <c r="C149" i="2"/>
  <c r="B149" i="2"/>
  <c r="I148" i="2"/>
  <c r="H148" i="2"/>
  <c r="G148" i="2"/>
  <c r="F148" i="2"/>
  <c r="E148" i="2"/>
  <c r="D148" i="2"/>
  <c r="C148" i="2"/>
  <c r="B148" i="2"/>
  <c r="I147" i="2"/>
  <c r="H147" i="2"/>
  <c r="G147" i="2"/>
  <c r="F147" i="2"/>
  <c r="E147" i="2"/>
  <c r="D147" i="2"/>
  <c r="C147" i="2"/>
  <c r="B147" i="2"/>
  <c r="I146" i="2"/>
  <c r="H146" i="2"/>
  <c r="G146" i="2"/>
  <c r="F146" i="2"/>
  <c r="E146" i="2"/>
  <c r="D146" i="2"/>
  <c r="C146" i="2"/>
  <c r="B146" i="2"/>
  <c r="I145" i="2"/>
  <c r="H145" i="2"/>
  <c r="G145" i="2"/>
  <c r="F145" i="2"/>
  <c r="E145" i="2"/>
  <c r="D145" i="2"/>
  <c r="C145" i="2"/>
  <c r="B145" i="2"/>
  <c r="I144" i="2"/>
  <c r="H144" i="2"/>
  <c r="G144" i="2"/>
  <c r="F144" i="2"/>
  <c r="E144" i="2"/>
  <c r="D144" i="2"/>
  <c r="C144" i="2"/>
  <c r="B144" i="2"/>
  <c r="I140" i="2"/>
  <c r="H140" i="2"/>
  <c r="G140" i="2"/>
  <c r="F140" i="2"/>
  <c r="E140" i="2"/>
  <c r="D140" i="2"/>
  <c r="C140" i="2"/>
  <c r="B140" i="2"/>
  <c r="I139" i="2"/>
  <c r="H139" i="2"/>
  <c r="G139" i="2"/>
  <c r="F139" i="2"/>
  <c r="E139" i="2"/>
  <c r="D139" i="2"/>
  <c r="C139" i="2"/>
  <c r="B139" i="2"/>
  <c r="I138" i="2"/>
  <c r="H138" i="2"/>
  <c r="G138" i="2"/>
  <c r="F138" i="2"/>
  <c r="E138" i="2"/>
  <c r="D138" i="2"/>
  <c r="C138" i="2"/>
  <c r="B138" i="2"/>
  <c r="I137" i="2"/>
  <c r="H137" i="2"/>
  <c r="G137" i="2"/>
  <c r="F137" i="2"/>
  <c r="E137" i="2"/>
  <c r="D137" i="2"/>
  <c r="C137" i="2"/>
  <c r="B137" i="2"/>
  <c r="I136" i="2"/>
  <c r="H136" i="2"/>
  <c r="G136" i="2"/>
  <c r="F136" i="2"/>
  <c r="E136" i="2"/>
  <c r="D136" i="2"/>
  <c r="C136" i="2"/>
  <c r="B136" i="2"/>
  <c r="I135" i="2"/>
  <c r="H135" i="2"/>
  <c r="G135" i="2"/>
  <c r="F135" i="2"/>
  <c r="E135" i="2"/>
  <c r="D135" i="2"/>
  <c r="C135" i="2"/>
  <c r="B135" i="2"/>
  <c r="I134" i="2"/>
  <c r="H134" i="2"/>
  <c r="G134" i="2"/>
  <c r="F134" i="2"/>
  <c r="E134" i="2"/>
  <c r="D134" i="2"/>
  <c r="C134" i="2"/>
  <c r="B134" i="2"/>
  <c r="I133" i="2"/>
  <c r="H133" i="2"/>
  <c r="G133" i="2"/>
  <c r="F133" i="2"/>
  <c r="E133" i="2"/>
  <c r="D133" i="2"/>
  <c r="C133" i="2"/>
  <c r="B133" i="2"/>
  <c r="I132" i="2"/>
  <c r="H132" i="2"/>
  <c r="G132" i="2"/>
  <c r="F132" i="2"/>
  <c r="E132" i="2"/>
  <c r="D132" i="2"/>
  <c r="C132" i="2"/>
  <c r="B132" i="2"/>
  <c r="I131" i="2"/>
  <c r="H131" i="2"/>
  <c r="G131" i="2"/>
  <c r="F131" i="2"/>
  <c r="E131" i="2"/>
  <c r="D131" i="2"/>
  <c r="C131" i="2"/>
  <c r="B131" i="2"/>
  <c r="I130" i="2"/>
  <c r="H130" i="2"/>
  <c r="G130" i="2"/>
  <c r="F130" i="2"/>
  <c r="E130" i="2"/>
  <c r="D130" i="2"/>
  <c r="C130" i="2"/>
  <c r="B130" i="2"/>
  <c r="I129" i="2"/>
  <c r="H129" i="2"/>
  <c r="G129" i="2"/>
  <c r="F129" i="2"/>
  <c r="E129" i="2"/>
  <c r="D129" i="2"/>
  <c r="C129" i="2"/>
  <c r="B129" i="2"/>
  <c r="I128" i="2"/>
  <c r="H128" i="2"/>
  <c r="G128" i="2"/>
  <c r="F128" i="2"/>
  <c r="E128" i="2"/>
  <c r="D128" i="2"/>
  <c r="C128" i="2"/>
  <c r="B128" i="2"/>
  <c r="I127" i="2"/>
  <c r="H127" i="2"/>
  <c r="G127" i="2"/>
  <c r="F127" i="2"/>
  <c r="E127" i="2"/>
  <c r="D127" i="2"/>
  <c r="C127" i="2"/>
  <c r="B127" i="2"/>
  <c r="I126" i="2"/>
  <c r="H126" i="2"/>
  <c r="G126" i="2"/>
  <c r="F126" i="2"/>
  <c r="E126" i="2"/>
  <c r="D126" i="2"/>
  <c r="C126" i="2"/>
  <c r="B126" i="2"/>
  <c r="I125" i="2"/>
  <c r="H125" i="2"/>
  <c r="G125" i="2"/>
  <c r="F125" i="2"/>
  <c r="E125" i="2"/>
  <c r="D125" i="2"/>
  <c r="C125" i="2"/>
  <c r="B125" i="2"/>
  <c r="I124" i="2"/>
  <c r="H124" i="2"/>
  <c r="G124" i="2"/>
  <c r="F124" i="2"/>
  <c r="E124" i="2"/>
  <c r="D124" i="2"/>
  <c r="C124" i="2"/>
  <c r="B124" i="2"/>
  <c r="I120" i="2"/>
  <c r="H120" i="2"/>
  <c r="G120" i="2"/>
  <c r="F120" i="2"/>
  <c r="E120" i="2"/>
  <c r="D120" i="2"/>
  <c r="C120" i="2"/>
  <c r="B120" i="2"/>
  <c r="I119" i="2"/>
  <c r="H119" i="2"/>
  <c r="G119" i="2"/>
  <c r="F119" i="2"/>
  <c r="E119" i="2"/>
  <c r="D119" i="2"/>
  <c r="C119" i="2"/>
  <c r="B119" i="2"/>
  <c r="I118" i="2"/>
  <c r="H118" i="2"/>
  <c r="G118" i="2"/>
  <c r="F118" i="2"/>
  <c r="E118" i="2"/>
  <c r="D118" i="2"/>
  <c r="C118" i="2"/>
  <c r="B118" i="2"/>
  <c r="I117" i="2"/>
  <c r="H117" i="2"/>
  <c r="G117" i="2"/>
  <c r="F117" i="2"/>
  <c r="E117" i="2"/>
  <c r="D117" i="2"/>
  <c r="C117" i="2"/>
  <c r="B117" i="2"/>
  <c r="I116" i="2"/>
  <c r="H116" i="2"/>
  <c r="G116" i="2"/>
  <c r="F116" i="2"/>
  <c r="E116" i="2"/>
  <c r="D116" i="2"/>
  <c r="C116" i="2"/>
  <c r="B116" i="2"/>
  <c r="I115" i="2"/>
  <c r="H115" i="2"/>
  <c r="G115" i="2"/>
  <c r="F115" i="2"/>
  <c r="E115" i="2"/>
  <c r="D115" i="2"/>
  <c r="C115" i="2"/>
  <c r="B115" i="2"/>
  <c r="I114" i="2"/>
  <c r="H114" i="2"/>
  <c r="G114" i="2"/>
  <c r="F114" i="2"/>
  <c r="E114" i="2"/>
  <c r="D114" i="2"/>
  <c r="C114" i="2"/>
  <c r="B114" i="2"/>
  <c r="I113" i="2"/>
  <c r="H113" i="2"/>
  <c r="G113" i="2"/>
  <c r="F113" i="2"/>
  <c r="E113" i="2"/>
  <c r="D113" i="2"/>
  <c r="C113" i="2"/>
  <c r="B113" i="2"/>
  <c r="I112" i="2"/>
  <c r="H112" i="2"/>
  <c r="G112" i="2"/>
  <c r="F112" i="2"/>
  <c r="E112" i="2"/>
  <c r="D112" i="2"/>
  <c r="C112" i="2"/>
  <c r="B112" i="2"/>
  <c r="I111" i="2"/>
  <c r="H111" i="2"/>
  <c r="G111" i="2"/>
  <c r="F111" i="2"/>
  <c r="E111" i="2"/>
  <c r="D111" i="2"/>
  <c r="C111" i="2"/>
  <c r="B111" i="2"/>
  <c r="I110" i="2"/>
  <c r="H110" i="2"/>
  <c r="G110" i="2"/>
  <c r="F110" i="2"/>
  <c r="E110" i="2"/>
  <c r="D110" i="2"/>
  <c r="C110" i="2"/>
  <c r="B110" i="2"/>
  <c r="I109" i="2"/>
  <c r="H109" i="2"/>
  <c r="G109" i="2"/>
  <c r="F109" i="2"/>
  <c r="E109" i="2"/>
  <c r="D109" i="2"/>
  <c r="C109" i="2"/>
  <c r="B109" i="2"/>
  <c r="I108" i="2"/>
  <c r="H108" i="2"/>
  <c r="G108" i="2"/>
  <c r="F108" i="2"/>
  <c r="E108" i="2"/>
  <c r="D108" i="2"/>
  <c r="C108" i="2"/>
  <c r="B108" i="2"/>
  <c r="I107" i="2"/>
  <c r="H107" i="2"/>
  <c r="G107" i="2"/>
  <c r="F107" i="2"/>
  <c r="E107" i="2"/>
  <c r="D107" i="2"/>
  <c r="C107" i="2"/>
  <c r="B107" i="2"/>
  <c r="I106" i="2"/>
  <c r="H106" i="2"/>
  <c r="G106" i="2"/>
  <c r="F106" i="2"/>
  <c r="E106" i="2"/>
  <c r="D106" i="2"/>
  <c r="C106" i="2"/>
  <c r="B106" i="2"/>
  <c r="I105" i="2"/>
  <c r="H105" i="2"/>
  <c r="G105" i="2"/>
  <c r="F105" i="2"/>
  <c r="E105" i="2"/>
  <c r="D105" i="2"/>
  <c r="C105" i="2"/>
  <c r="B105" i="2"/>
  <c r="I104" i="2"/>
  <c r="H104" i="2"/>
  <c r="G104" i="2"/>
  <c r="F104" i="2"/>
  <c r="E104" i="2"/>
  <c r="D104" i="2"/>
  <c r="C104" i="2"/>
  <c r="B104" i="2"/>
  <c r="I100" i="2"/>
  <c r="H100" i="2"/>
  <c r="G100" i="2"/>
  <c r="F100" i="2"/>
  <c r="E100" i="2"/>
  <c r="D100" i="2"/>
  <c r="C100" i="2"/>
  <c r="B100" i="2"/>
  <c r="I99" i="2"/>
  <c r="H99" i="2"/>
  <c r="G99" i="2"/>
  <c r="F99" i="2"/>
  <c r="E99" i="2"/>
  <c r="D99" i="2"/>
  <c r="C99" i="2"/>
  <c r="B99" i="2"/>
  <c r="I98" i="2"/>
  <c r="H98" i="2"/>
  <c r="G98" i="2"/>
  <c r="F98" i="2"/>
  <c r="E98" i="2"/>
  <c r="D98" i="2"/>
  <c r="C98" i="2"/>
  <c r="B98" i="2"/>
  <c r="I97" i="2"/>
  <c r="H97" i="2"/>
  <c r="G97" i="2"/>
  <c r="F97" i="2"/>
  <c r="E97" i="2"/>
  <c r="D97" i="2"/>
  <c r="C97" i="2"/>
  <c r="B97" i="2"/>
  <c r="I96" i="2"/>
  <c r="H96" i="2"/>
  <c r="G96" i="2"/>
  <c r="F96" i="2"/>
  <c r="E96" i="2"/>
  <c r="D96" i="2"/>
  <c r="C96" i="2"/>
  <c r="B96" i="2"/>
  <c r="I95" i="2"/>
  <c r="H95" i="2"/>
  <c r="G95" i="2"/>
  <c r="F95" i="2"/>
  <c r="E95" i="2"/>
  <c r="D95" i="2"/>
  <c r="C95" i="2"/>
  <c r="B95" i="2"/>
  <c r="I94" i="2"/>
  <c r="H94" i="2"/>
  <c r="G94" i="2"/>
  <c r="F94" i="2"/>
  <c r="E94" i="2"/>
  <c r="D94" i="2"/>
  <c r="C94" i="2"/>
  <c r="B94" i="2"/>
  <c r="I93" i="2"/>
  <c r="H93" i="2"/>
  <c r="G93" i="2"/>
  <c r="F93" i="2"/>
  <c r="E93" i="2"/>
  <c r="D93" i="2"/>
  <c r="C93" i="2"/>
  <c r="B93" i="2"/>
  <c r="I92" i="2"/>
  <c r="H92" i="2"/>
  <c r="G92" i="2"/>
  <c r="F92" i="2"/>
  <c r="E92" i="2"/>
  <c r="D92" i="2"/>
  <c r="C92" i="2"/>
  <c r="B92" i="2"/>
  <c r="I91" i="2"/>
  <c r="H91" i="2"/>
  <c r="G91" i="2"/>
  <c r="F91" i="2"/>
  <c r="E91" i="2"/>
  <c r="D91" i="2"/>
  <c r="C91" i="2"/>
  <c r="B91" i="2"/>
  <c r="I90" i="2"/>
  <c r="H90" i="2"/>
  <c r="G90" i="2"/>
  <c r="F90" i="2"/>
  <c r="E90" i="2"/>
  <c r="D90" i="2"/>
  <c r="C90" i="2"/>
  <c r="B90" i="2"/>
  <c r="I89" i="2"/>
  <c r="H89" i="2"/>
  <c r="G89" i="2"/>
  <c r="F89" i="2"/>
  <c r="E89" i="2"/>
  <c r="D89" i="2"/>
  <c r="C89" i="2"/>
  <c r="B89" i="2"/>
  <c r="I88" i="2"/>
  <c r="H88" i="2"/>
  <c r="G88" i="2"/>
  <c r="F88" i="2"/>
  <c r="E88" i="2"/>
  <c r="D88" i="2"/>
  <c r="C88" i="2"/>
  <c r="B88" i="2"/>
  <c r="I87" i="2"/>
  <c r="H87" i="2"/>
  <c r="G87" i="2"/>
  <c r="F87" i="2"/>
  <c r="E87" i="2"/>
  <c r="D87" i="2"/>
  <c r="C87" i="2"/>
  <c r="B87" i="2"/>
  <c r="I86" i="2"/>
  <c r="H86" i="2"/>
  <c r="G86" i="2"/>
  <c r="F86" i="2"/>
  <c r="E86" i="2"/>
  <c r="D86" i="2"/>
  <c r="C86" i="2"/>
  <c r="B86" i="2"/>
  <c r="I85" i="2"/>
  <c r="H85" i="2"/>
  <c r="G85" i="2"/>
  <c r="F85" i="2"/>
  <c r="E85" i="2"/>
  <c r="D85" i="2"/>
  <c r="C85" i="2"/>
  <c r="B85" i="2"/>
  <c r="I84" i="2"/>
  <c r="H84" i="2"/>
  <c r="G84" i="2"/>
  <c r="F84" i="2"/>
  <c r="E84" i="2"/>
  <c r="D84" i="2"/>
  <c r="C84" i="2"/>
  <c r="B84" i="2"/>
  <c r="I80" i="2"/>
  <c r="H80" i="2"/>
  <c r="G80" i="2"/>
  <c r="F80" i="2"/>
  <c r="E80" i="2"/>
  <c r="D80" i="2"/>
  <c r="C80" i="2"/>
  <c r="B80" i="2"/>
  <c r="I79" i="2"/>
  <c r="H79" i="2"/>
  <c r="G79" i="2"/>
  <c r="F79" i="2"/>
  <c r="E79" i="2"/>
  <c r="D79" i="2"/>
  <c r="C79" i="2"/>
  <c r="B79" i="2"/>
  <c r="I78" i="2"/>
  <c r="H78" i="2"/>
  <c r="G78" i="2"/>
  <c r="F78" i="2"/>
  <c r="E78" i="2"/>
  <c r="D78" i="2"/>
  <c r="C78" i="2"/>
  <c r="B78" i="2"/>
  <c r="I77" i="2"/>
  <c r="H77" i="2"/>
  <c r="G77" i="2"/>
  <c r="F77" i="2"/>
  <c r="E77" i="2"/>
  <c r="D77" i="2"/>
  <c r="C77" i="2"/>
  <c r="B77" i="2"/>
  <c r="I76" i="2"/>
  <c r="H76" i="2"/>
  <c r="G76" i="2"/>
  <c r="F76" i="2"/>
  <c r="E76" i="2"/>
  <c r="D76" i="2"/>
  <c r="C76" i="2"/>
  <c r="B76" i="2"/>
  <c r="I75" i="2"/>
  <c r="H75" i="2"/>
  <c r="G75" i="2"/>
  <c r="F75" i="2"/>
  <c r="E75" i="2"/>
  <c r="D75" i="2"/>
  <c r="C75" i="2"/>
  <c r="B75" i="2"/>
  <c r="I74" i="2"/>
  <c r="H74" i="2"/>
  <c r="G74" i="2"/>
  <c r="F74" i="2"/>
  <c r="E74" i="2"/>
  <c r="D74" i="2"/>
  <c r="C74" i="2"/>
  <c r="B74" i="2"/>
  <c r="I73" i="2"/>
  <c r="H73" i="2"/>
  <c r="G73" i="2"/>
  <c r="F73" i="2"/>
  <c r="E73" i="2"/>
  <c r="D73" i="2"/>
  <c r="C73" i="2"/>
  <c r="B73" i="2"/>
  <c r="I72" i="2"/>
  <c r="H72" i="2"/>
  <c r="G72" i="2"/>
  <c r="F72" i="2"/>
  <c r="E72" i="2"/>
  <c r="D72" i="2"/>
  <c r="C72" i="2"/>
  <c r="B72" i="2"/>
  <c r="I71" i="2"/>
  <c r="H71" i="2"/>
  <c r="G71" i="2"/>
  <c r="F71" i="2"/>
  <c r="E71" i="2"/>
  <c r="D71" i="2"/>
  <c r="C71" i="2"/>
  <c r="B71" i="2"/>
  <c r="I70" i="2"/>
  <c r="H70" i="2"/>
  <c r="G70" i="2"/>
  <c r="F70" i="2"/>
  <c r="E70" i="2"/>
  <c r="D70" i="2"/>
  <c r="C70" i="2"/>
  <c r="B70" i="2"/>
  <c r="I69" i="2"/>
  <c r="H69" i="2"/>
  <c r="G69" i="2"/>
  <c r="F69" i="2"/>
  <c r="E69" i="2"/>
  <c r="D69" i="2"/>
  <c r="C69" i="2"/>
  <c r="B69" i="2"/>
  <c r="I68" i="2"/>
  <c r="H68" i="2"/>
  <c r="G68" i="2"/>
  <c r="F68" i="2"/>
  <c r="E68" i="2"/>
  <c r="D68" i="2"/>
  <c r="C68" i="2"/>
  <c r="B68" i="2"/>
  <c r="I67" i="2"/>
  <c r="H67" i="2"/>
  <c r="G67" i="2"/>
  <c r="F67" i="2"/>
  <c r="E67" i="2"/>
  <c r="D67" i="2"/>
  <c r="C67" i="2"/>
  <c r="B67" i="2"/>
  <c r="I66" i="2"/>
  <c r="H66" i="2"/>
  <c r="G66" i="2"/>
  <c r="F66" i="2"/>
  <c r="E66" i="2"/>
  <c r="D66" i="2"/>
  <c r="C66" i="2"/>
  <c r="B66" i="2"/>
  <c r="I65" i="2"/>
  <c r="H65" i="2"/>
  <c r="G65" i="2"/>
  <c r="F65" i="2"/>
  <c r="E65" i="2"/>
  <c r="D65" i="2"/>
  <c r="C65" i="2"/>
  <c r="B65" i="2"/>
  <c r="I64" i="2"/>
  <c r="H64" i="2"/>
  <c r="G64" i="2"/>
  <c r="F64" i="2"/>
  <c r="E64" i="2"/>
  <c r="D64" i="2"/>
  <c r="C64" i="2"/>
  <c r="B64" i="2"/>
  <c r="I60" i="2"/>
  <c r="H60" i="2"/>
  <c r="G60" i="2"/>
  <c r="F60" i="2"/>
  <c r="E60" i="2"/>
  <c r="D60" i="2"/>
  <c r="C60" i="2"/>
  <c r="B60" i="2"/>
  <c r="I59" i="2"/>
  <c r="H59" i="2"/>
  <c r="G59" i="2"/>
  <c r="F59" i="2"/>
  <c r="E59" i="2"/>
  <c r="D59" i="2"/>
  <c r="C59" i="2"/>
  <c r="B59" i="2"/>
  <c r="I58" i="2"/>
  <c r="H58" i="2"/>
  <c r="G58" i="2"/>
  <c r="F58" i="2"/>
  <c r="E58" i="2"/>
  <c r="D58" i="2"/>
  <c r="C58" i="2"/>
  <c r="B58" i="2"/>
  <c r="I57" i="2"/>
  <c r="H57" i="2"/>
  <c r="G57" i="2"/>
  <c r="F57" i="2"/>
  <c r="E57" i="2"/>
  <c r="D57" i="2"/>
  <c r="C57" i="2"/>
  <c r="B57"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I50" i="2"/>
  <c r="H50" i="2"/>
  <c r="G50" i="2"/>
  <c r="F50" i="2"/>
  <c r="E50" i="2"/>
  <c r="D50" i="2"/>
  <c r="C50" i="2"/>
  <c r="B50" i="2"/>
  <c r="I49" i="2"/>
  <c r="H49" i="2"/>
  <c r="G49" i="2"/>
  <c r="F49" i="2"/>
  <c r="E49" i="2"/>
  <c r="D49" i="2"/>
  <c r="C49" i="2"/>
  <c r="B49" i="2"/>
  <c r="I48" i="2"/>
  <c r="H48" i="2"/>
  <c r="G48" i="2"/>
  <c r="F48" i="2"/>
  <c r="E48" i="2"/>
  <c r="D48" i="2"/>
  <c r="C48" i="2"/>
  <c r="B48" i="2"/>
  <c r="I47" i="2"/>
  <c r="H47" i="2"/>
  <c r="G47" i="2"/>
  <c r="F47" i="2"/>
  <c r="E47" i="2"/>
  <c r="D47" i="2"/>
  <c r="C47" i="2"/>
  <c r="B47" i="2"/>
  <c r="I46" i="2"/>
  <c r="H46" i="2"/>
  <c r="G46" i="2"/>
  <c r="F46" i="2"/>
  <c r="E46" i="2"/>
  <c r="D46" i="2"/>
  <c r="C46" i="2"/>
  <c r="B46" i="2"/>
  <c r="I45" i="2"/>
  <c r="H45" i="2"/>
  <c r="G45" i="2"/>
  <c r="F45" i="2"/>
  <c r="E45" i="2"/>
  <c r="D45" i="2"/>
  <c r="C45" i="2"/>
  <c r="B45" i="2"/>
  <c r="I44" i="2"/>
  <c r="H44" i="2"/>
  <c r="G44" i="2"/>
  <c r="F44" i="2"/>
  <c r="E44" i="2"/>
  <c r="D44" i="2"/>
  <c r="C44" i="2"/>
  <c r="B44" i="2"/>
  <c r="I40" i="2"/>
  <c r="H40" i="2"/>
  <c r="G40" i="2"/>
  <c r="F40" i="2"/>
  <c r="E40" i="2"/>
  <c r="D40" i="2"/>
  <c r="C40" i="2"/>
  <c r="B40" i="2"/>
  <c r="I39" i="2"/>
  <c r="H39" i="2"/>
  <c r="G39" i="2"/>
  <c r="F39" i="2"/>
  <c r="E39" i="2"/>
  <c r="D39" i="2"/>
  <c r="C39" i="2"/>
  <c r="B39" i="2"/>
  <c r="I38" i="2"/>
  <c r="H38" i="2"/>
  <c r="G38" i="2"/>
  <c r="F38" i="2"/>
  <c r="E38" i="2"/>
  <c r="D38" i="2"/>
  <c r="C38" i="2"/>
  <c r="B38" i="2"/>
  <c r="I37" i="2"/>
  <c r="H37" i="2"/>
  <c r="G37" i="2"/>
  <c r="F37" i="2"/>
  <c r="E37" i="2"/>
  <c r="D37" i="2"/>
  <c r="C37" i="2"/>
  <c r="B37" i="2"/>
  <c r="I36" i="2"/>
  <c r="H36" i="2"/>
  <c r="G36" i="2"/>
  <c r="F36" i="2"/>
  <c r="E36" i="2"/>
  <c r="D36" i="2"/>
  <c r="C36" i="2"/>
  <c r="B36" i="2"/>
  <c r="I35" i="2"/>
  <c r="H35" i="2"/>
  <c r="G35" i="2"/>
  <c r="F35" i="2"/>
  <c r="E35" i="2"/>
  <c r="D35" i="2"/>
  <c r="C35" i="2"/>
  <c r="B35" i="2"/>
  <c r="I34" i="2"/>
  <c r="H34" i="2"/>
  <c r="G34" i="2"/>
  <c r="F34" i="2"/>
  <c r="E34" i="2"/>
  <c r="D34" i="2"/>
  <c r="C34" i="2"/>
  <c r="B34" i="2"/>
  <c r="I33" i="2"/>
  <c r="H33" i="2"/>
  <c r="G33" i="2"/>
  <c r="F33" i="2"/>
  <c r="E33" i="2"/>
  <c r="D33" i="2"/>
  <c r="C33" i="2"/>
  <c r="B33" i="2"/>
  <c r="I32" i="2"/>
  <c r="H32" i="2"/>
  <c r="G32" i="2"/>
  <c r="F32" i="2"/>
  <c r="E32" i="2"/>
  <c r="D32" i="2"/>
  <c r="C32" i="2"/>
  <c r="B32" i="2"/>
  <c r="I31" i="2"/>
  <c r="H31" i="2"/>
  <c r="G31" i="2"/>
  <c r="F31" i="2"/>
  <c r="E31" i="2"/>
  <c r="D31" i="2"/>
  <c r="C31" i="2"/>
  <c r="B31" i="2"/>
  <c r="I30" i="2"/>
  <c r="H30" i="2"/>
  <c r="G30" i="2"/>
  <c r="F30" i="2"/>
  <c r="E30" i="2"/>
  <c r="D30" i="2"/>
  <c r="C30" i="2"/>
  <c r="B30" i="2"/>
  <c r="I29" i="2"/>
  <c r="H29" i="2"/>
  <c r="G29" i="2"/>
  <c r="F29" i="2"/>
  <c r="E29" i="2"/>
  <c r="D29" i="2"/>
  <c r="C29" i="2"/>
  <c r="B29" i="2"/>
  <c r="I28" i="2"/>
  <c r="H28" i="2"/>
  <c r="G28" i="2"/>
  <c r="F28" i="2"/>
  <c r="E28" i="2"/>
  <c r="D28" i="2"/>
  <c r="C28" i="2"/>
  <c r="B28" i="2"/>
  <c r="I27" i="2"/>
  <c r="H27" i="2"/>
  <c r="G27" i="2"/>
  <c r="F27" i="2"/>
  <c r="E27" i="2"/>
  <c r="D27" i="2"/>
  <c r="C27" i="2"/>
  <c r="B27" i="2"/>
  <c r="I26" i="2"/>
  <c r="H26" i="2"/>
  <c r="G26" i="2"/>
  <c r="F26" i="2"/>
  <c r="E26" i="2"/>
  <c r="D26" i="2"/>
  <c r="C26" i="2"/>
  <c r="B26" i="2"/>
  <c r="I25" i="2"/>
  <c r="H25" i="2"/>
  <c r="G25" i="2"/>
  <c r="F25" i="2"/>
  <c r="E25" i="2"/>
  <c r="D25" i="2"/>
  <c r="C25" i="2"/>
  <c r="B25" i="2"/>
  <c r="I24" i="2"/>
  <c r="H24" i="2"/>
  <c r="G24" i="2"/>
  <c r="F24" i="2"/>
  <c r="E24" i="2"/>
  <c r="D24" i="2"/>
  <c r="C24" i="2"/>
  <c r="B24" i="2"/>
  <c r="I20" i="2"/>
  <c r="H20" i="2"/>
  <c r="G20" i="2"/>
  <c r="F20" i="2"/>
  <c r="E20" i="2"/>
  <c r="D20" i="2"/>
  <c r="C20" i="2"/>
  <c r="B20" i="2"/>
  <c r="I19" i="2"/>
  <c r="H19" i="2"/>
  <c r="G19" i="2"/>
  <c r="F19" i="2"/>
  <c r="E19" i="2"/>
  <c r="D19" i="2"/>
  <c r="C19" i="2"/>
  <c r="B19" i="2"/>
  <c r="I18" i="2"/>
  <c r="H18" i="2"/>
  <c r="G18" i="2"/>
  <c r="F18" i="2"/>
  <c r="E18" i="2"/>
  <c r="D18" i="2"/>
  <c r="C18" i="2"/>
  <c r="B18" i="2"/>
  <c r="I17" i="2"/>
  <c r="H17" i="2"/>
  <c r="G17" i="2"/>
  <c r="F17" i="2"/>
  <c r="E17" i="2"/>
  <c r="D17" i="2"/>
  <c r="C17" i="2"/>
  <c r="B17" i="2"/>
  <c r="I16" i="2"/>
  <c r="H16" i="2"/>
  <c r="G16" i="2"/>
  <c r="F16" i="2"/>
  <c r="E16" i="2"/>
  <c r="D16" i="2"/>
  <c r="C16" i="2"/>
  <c r="B16" i="2"/>
  <c r="I15" i="2"/>
  <c r="H15" i="2"/>
  <c r="G15" i="2"/>
  <c r="F15" i="2"/>
  <c r="E15" i="2"/>
  <c r="D15" i="2"/>
  <c r="C15" i="2"/>
  <c r="B15" i="2"/>
  <c r="I14" i="2"/>
  <c r="H14" i="2"/>
  <c r="G14" i="2"/>
  <c r="F14" i="2"/>
  <c r="E14" i="2"/>
  <c r="D14" i="2"/>
  <c r="C14" i="2"/>
  <c r="B14" i="2"/>
  <c r="I13" i="2"/>
  <c r="H13" i="2"/>
  <c r="G13" i="2"/>
  <c r="F13" i="2"/>
  <c r="E13" i="2"/>
  <c r="D13" i="2"/>
  <c r="C13" i="2"/>
  <c r="B13" i="2"/>
  <c r="I12" i="2"/>
  <c r="H12" i="2"/>
  <c r="G12" i="2"/>
  <c r="F12" i="2"/>
  <c r="E12" i="2"/>
  <c r="D12" i="2"/>
  <c r="C12" i="2"/>
  <c r="B12" i="2"/>
  <c r="I11" i="2"/>
  <c r="H11" i="2"/>
  <c r="G11" i="2"/>
  <c r="F11" i="2"/>
  <c r="E11" i="2"/>
  <c r="D11" i="2"/>
  <c r="C11" i="2"/>
  <c r="B11" i="2"/>
  <c r="I10" i="2"/>
  <c r="H10" i="2"/>
  <c r="G10" i="2"/>
  <c r="F10" i="2"/>
  <c r="E10" i="2"/>
  <c r="D10" i="2"/>
  <c r="C10" i="2"/>
  <c r="B10" i="2"/>
  <c r="I9" i="2"/>
  <c r="H9" i="2"/>
  <c r="G9" i="2"/>
  <c r="F9" i="2"/>
  <c r="E9" i="2"/>
  <c r="D9" i="2"/>
  <c r="C9" i="2"/>
  <c r="B9" i="2"/>
  <c r="I8" i="2"/>
  <c r="H8" i="2"/>
  <c r="G8" i="2"/>
  <c r="F8" i="2"/>
  <c r="E8" i="2"/>
  <c r="D8" i="2"/>
  <c r="C8" i="2"/>
  <c r="B8" i="2"/>
  <c r="I7" i="2"/>
  <c r="H7" i="2"/>
  <c r="G7" i="2"/>
  <c r="F7" i="2"/>
  <c r="E7" i="2"/>
  <c r="D7" i="2"/>
  <c r="C7" i="2"/>
  <c r="B7" i="2"/>
  <c r="I6" i="2"/>
  <c r="H6" i="2"/>
  <c r="G6" i="2"/>
  <c r="F6" i="2"/>
  <c r="E6" i="2"/>
  <c r="D6" i="2"/>
  <c r="C6" i="2"/>
  <c r="B6" i="2"/>
  <c r="I5" i="2"/>
  <c r="H5" i="2"/>
  <c r="G5" i="2"/>
  <c r="F5" i="2"/>
  <c r="E5" i="2"/>
  <c r="D5" i="2"/>
  <c r="C5" i="2"/>
  <c r="B5" i="2"/>
  <c r="I4" i="2"/>
  <c r="H4" i="2"/>
  <c r="G4" i="2"/>
  <c r="F4" i="2"/>
  <c r="E4" i="2"/>
  <c r="D4" i="2"/>
  <c r="C4" i="2"/>
  <c r="B4" i="2"/>
</calcChain>
</file>

<file path=xl/sharedStrings.xml><?xml version="1.0" encoding="utf-8"?>
<sst xmlns="http://schemas.openxmlformats.org/spreadsheetml/2006/main" count="338" uniqueCount="78">
  <si>
    <t>الأقساط المكتسبة (المجموع التأمين العام والصحي)</t>
  </si>
  <si>
    <t>الشركة</t>
  </si>
  <si>
    <t>الأقساط المباشرة</t>
  </si>
  <si>
    <t>وارد محلي</t>
  </si>
  <si>
    <t>وارد من الخارج</t>
  </si>
  <si>
    <t>(أ) إجمالي الوارد</t>
  </si>
  <si>
    <t>صادر محلي</t>
  </si>
  <si>
    <t>صادر للخارج</t>
  </si>
  <si>
    <t>(ب) إجمالي الصادر</t>
  </si>
  <si>
    <t>( أ - ب ) الصافي</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</si>
  <si>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</si>
  <si>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</si>
  <si>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</si>
  <si>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</si>
  <si>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الشركة الوطنية للتأمين على الحياة والعام</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</si>
  <si>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</si>
  <si>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</si>
  <si>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</si>
  <si>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</si>
  <si>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</si>
  <si>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</si>
  <si>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</si>
  <si>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</si>
  <si>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</si>
  <si>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</si>
  <si>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</si>
  <si>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</si>
  <si>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جدول رقم(49) : الأقساط المكتسبة (إجمالي التأمين العام)</t>
  </si>
  <si>
    <t>جدول رقم(50) : الأقساط المكتسبة (النقل)</t>
  </si>
  <si>
    <t>جدول رقم(51) : الأقساط المكتسبة (الممتلكات)</t>
  </si>
  <si>
    <t>جدول رقم(52) : الأقساط المكتسبة (المركبات الشامل)</t>
  </si>
  <si>
    <t>جدول رقم(53) : الأقساط المكتسبة (المركبات الطرف الثالث)</t>
  </si>
  <si>
    <t>جدول رقم(54) : الأقساط المكتسبة (المسؤولية)</t>
  </si>
  <si>
    <t>جدول رقم(55) : الأقساط المكتسبة (الهندسي)</t>
  </si>
  <si>
    <t>جدول رقم(56) : الأقساط المكتسبة (الصحي)</t>
  </si>
  <si>
    <t>جدول رقم(57) : الأقساط المكتسبة (الأخرى)</t>
  </si>
  <si>
    <t>إسم مجموعة البيانات</t>
  </si>
  <si>
    <t>الأقساط المكتتبة</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</si>
  <si>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</si>
  <si>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</si>
  <si>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</si>
  <si>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</si>
  <si>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</si>
  <si>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</si>
  <si>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</si>
  <si>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</si>
  <si>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</si>
  <si>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</si>
  <si>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</si>
  <si>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</si>
  <si>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</si>
  <si>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</si>
  <si>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</si>
  <si>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</si>
  <si>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</si>
  <si>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</si>
  <si>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</si>
  <si>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</si>
  <si>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</si>
  <si>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</si>
  <si>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</si>
  <si>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</si>
  <si>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</si>
  <si>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</si>
  <si>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</si>
  <si>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</si>
  <si>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</si>
  <si>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م</t>
  </si>
  <si>
    <t>اسم المتغير</t>
  </si>
  <si>
    <t>وصف المتغير</t>
  </si>
  <si>
    <t>نوع البيانات</t>
  </si>
  <si>
    <t>مستوى الإلزامية(إجباري/ اختياري)</t>
  </si>
  <si>
    <t>اسم شركة التأمين</t>
  </si>
  <si>
    <t>نص</t>
  </si>
  <si>
    <t>إلزامي</t>
  </si>
  <si>
    <t>رقم</t>
  </si>
  <si>
    <t>إجمالي الوارد</t>
  </si>
  <si>
    <t>إجمالي الصادر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</si>
</sst>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sz val="11"/>
      <color rgb="FF212529"/>
      <name val="Arial"/>
      <family val="2"/>
      <scheme val="minor"/>
    </font>
    <font>
      <sz val="14"/>
      <color theme="0"/>
      <name val="Arial"/>
      <family val="2"/>
      <scheme val="minor"/>
    </font>
    <font>
      <b/>
      <sz val="12"/>
      <color rgb="FF000000"/>
      <name val="Arial"/>
      <family val="2"/>
      <scheme val="minor"/>
    </font>
    <font>
      <sz val="12"/>
      <color rgb="FF000000"/>
      <name val="Arial"/>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FFFFFF"/>
        <bgColor indexed="64"/>
      </patternFill>
    </fill>
    <fill>
      <patternFill patternType="solid">
        <fgColor rgb="FF4472C4"/>
        <bgColor rgb="FF000000"/>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6CA5DA"/>
      </left>
      <right style="medium">
        <color rgb="FF6CA5DA"/>
      </right>
      <top style="medium">
        <color rgb="FF6CA5DA"/>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22" fillId="35" borderId="11" xfId="0" applyFont="1" applyFill="1" applyBorder="1" applyAlignment="1">
      <alignment horizontal="right" vertical="center" wrapText="1"/>
    </xf>
    <xf numFmtId="0" fontId="23" fillId="25" borderId="10" xfId="34" applyFont="1" applyBorder="1" applyAlignment="1">
      <alignment horizontal="center" vertical="center" wrapText="1"/>
    </xf>
    <xf numFmtId="14" fontId="22" fillId="35" borderId="11" xfId="0" applyNumberFormat="1" applyFont="1" applyFill="1" applyBorder="1" applyAlignment="1">
      <alignment horizontal="center" vertical="center" wrapText="1"/>
    </xf>
    <xf numFmtId="0" fontId="17" fillId="36" borderId="11" xfId="34" applyFill="1" applyBorder="1" applyAlignment="1">
      <alignment horizontal="center" vertical="center" wrapText="1" readingOrder="2"/>
    </xf>
    <xf numFmtId="0" fontId="24" fillId="0" borderId="12" xfId="0" applyFont="1" applyBorder="1" applyAlignment="1">
      <alignment horizontal="center" vertical="center" wrapText="1" readingOrder="2"/>
    </xf>
    <xf numFmtId="0" fontId="25" fillId="0" borderId="12" xfId="0" applyFont="1" applyBorder="1" applyAlignment="1">
      <alignment horizontal="center" vertical="center" wrapText="1" readingOrder="2"/>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C21" sqref="C21"/>
    </sheetView>
  </sheetViews>
  <sheetFormatPr defaultRowHeight="14" x14ac:dyDescent="0.3"/>
  <cols>
    <col min="1" max="1" width="40.1640625" customWidth="1"/>
    <col min="2" max="2" width="41.75" customWidth="1"/>
  </cols>
  <sheetData>
    <row r="1" spans="1:2" ht="23.5" customHeight="1" x14ac:dyDescent="0.3">
      <c r="A1" s="7" t="s">
        <v>36</v>
      </c>
      <c r="B1" s="7" t="s">
        <v>37</v>
      </c>
    </row>
    <row r="2" spans="1:2" ht="70" x14ac:dyDescent="0.3">
      <c r="A2" s="6" t="s">
        <v>38</v>
      </c>
      <c r="B2" s="6" t="s">
        <v>39</v>
      </c>
    </row>
    <row r="3" spans="1:2" x14ac:dyDescent="0.3">
      <c r="A3" s="6" t="s">
        <v>40</v>
      </c>
      <c r="B3" s="6" t="s">
        <v>41</v>
      </c>
    </row>
    <row r="4" spans="1:2" x14ac:dyDescent="0.3">
      <c r="A4" s="6" t="s">
        <v>42</v>
      </c>
      <c r="B4" s="6" t="s">
        <v>43</v>
      </c>
    </row>
    <row r="5" spans="1:2" ht="42" x14ac:dyDescent="0.3">
      <c r="A5" s="6" t="s">
        <v>44</v>
      </c>
      <c r="B5" s="6" t="s">
        <v>45</v>
      </c>
    </row>
    <row r="6" spans="1:2" x14ac:dyDescent="0.3">
      <c r="A6" s="6" t="s">
        <v>46</v>
      </c>
      <c r="B6" s="8">
        <v>44568</v>
      </c>
    </row>
    <row r="7" spans="1:2" x14ac:dyDescent="0.3">
      <c r="A7" s="6" t="s">
        <v>47</v>
      </c>
      <c r="B7" s="6" t="s">
        <v>48</v>
      </c>
    </row>
    <row r="8" spans="1:2" x14ac:dyDescent="0.3">
      <c r="A8" s="6" t="s">
        <v>49</v>
      </c>
      <c r="B8" s="6" t="s">
        <v>50</v>
      </c>
    </row>
    <row r="9" spans="1:2" x14ac:dyDescent="0.3">
      <c r="A9" s="6" t="s">
        <v>51</v>
      </c>
      <c r="B9" s="6" t="s">
        <v>52</v>
      </c>
    </row>
    <row r="10" spans="1:2" x14ac:dyDescent="0.3">
      <c r="A10" s="6" t="s">
        <v>53</v>
      </c>
      <c r="B10" s="6" t="s">
        <v>54</v>
      </c>
    </row>
    <row r="11" spans="1:2" x14ac:dyDescent="0.3">
      <c r="A11" s="6" t="s">
        <v>55</v>
      </c>
      <c r="B11" s="6" t="s">
        <v>56</v>
      </c>
    </row>
    <row r="12" spans="1:2" x14ac:dyDescent="0.3">
      <c r="A12" s="6" t="s">
        <v>57</v>
      </c>
      <c r="B12" s="6" t="s">
        <v>58</v>
      </c>
    </row>
    <row r="13" spans="1:2" x14ac:dyDescent="0.3">
      <c r="A13" s="6" t="s">
        <v>59</v>
      </c>
      <c r="B13" s="6" t="s">
        <v>60</v>
      </c>
    </row>
    <row r="14" spans="1:2" ht="70" x14ac:dyDescent="0.3">
      <c r="A14" s="6" t="s">
        <v>61</v>
      </c>
      <c r="B14" s="6" t="s">
        <v>62</v>
      </c>
    </row>
    <row r="15" spans="1:2" x14ac:dyDescent="0.3">
      <c r="A15" s="6" t="s">
        <v>63</v>
      </c>
      <c r="B15" s="6" t="s">
        <v>64</v>
      </c>
    </row>
    <row r="16" spans="1:2" x14ac:dyDescent="0.3">
      <c r="A16" s="6" t="s">
        <v>65</v>
      </c>
      <c r="B16" s="6" t="s">
        <v>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rightToLeft="1" workbookViewId="0">
      <selection activeCell="A14" sqref="A14"/>
    </sheetView>
  </sheetViews>
  <sheetFormatPr defaultRowHeight="14" x14ac:dyDescent="0.3"/>
  <cols>
    <col min="1" max="3" width="20.58203125" customWidth="1"/>
    <col min="4" max="4" width="22.4140625" customWidth="1"/>
    <col min="5" max="5" width="25.5" customWidth="1"/>
  </cols>
  <sheetData>
    <row r="1" spans="1:5" ht="33" customHeight="1" x14ac:dyDescent="0.3">
      <c r="A1" s="9" t="s">
        <v>67</v>
      </c>
      <c r="B1" s="9" t="s">
        <v>68</v>
      </c>
      <c r="C1" s="9" t="s">
        <v>69</v>
      </c>
      <c r="D1" s="9" t="s">
        <v>70</v>
      </c>
      <c r="E1" s="9" t="s">
        <v>71</v>
      </c>
    </row>
    <row r="2" spans="1:5" ht="20" customHeight="1" x14ac:dyDescent="0.3">
      <c r="A2" s="10">
        <v>1</v>
      </c>
      <c r="B2" s="11" t="s">
        <v>1</v>
      </c>
      <c r="C2" s="11" t="s">
        <v>72</v>
      </c>
      <c r="D2" s="11" t="s">
        <v>73</v>
      </c>
      <c r="E2" s="11" t="s">
        <v>74</v>
      </c>
    </row>
    <row r="3" spans="1:5" ht="20" customHeight="1" x14ac:dyDescent="0.3">
      <c r="A3" s="10">
        <v>2</v>
      </c>
      <c r="B3" s="11" t="s">
        <v>2</v>
      </c>
      <c r="C3" s="11" t="s">
        <v>2</v>
      </c>
      <c r="D3" s="11" t="s">
        <v>75</v>
      </c>
      <c r="E3" s="11" t="s">
        <v>74</v>
      </c>
    </row>
    <row r="4" spans="1:5" ht="20" customHeight="1" x14ac:dyDescent="0.3">
      <c r="A4" s="10">
        <v>3</v>
      </c>
      <c r="B4" s="11" t="s">
        <v>3</v>
      </c>
      <c r="C4" s="11" t="s">
        <v>3</v>
      </c>
      <c r="D4" s="11" t="s">
        <v>75</v>
      </c>
      <c r="E4" s="11" t="s">
        <v>74</v>
      </c>
    </row>
    <row r="5" spans="1:5" ht="20" customHeight="1" x14ac:dyDescent="0.3">
      <c r="A5" s="10">
        <v>4</v>
      </c>
      <c r="B5" s="11" t="s">
        <v>4</v>
      </c>
      <c r="C5" s="11" t="s">
        <v>4</v>
      </c>
      <c r="D5" s="11" t="s">
        <v>75</v>
      </c>
      <c r="E5" s="11" t="s">
        <v>74</v>
      </c>
    </row>
    <row r="6" spans="1:5" ht="15.5" x14ac:dyDescent="0.3">
      <c r="A6" s="10">
        <v>5</v>
      </c>
      <c r="B6" s="11" t="s">
        <v>76</v>
      </c>
      <c r="C6" s="11" t="s">
        <v>76</v>
      </c>
      <c r="D6" s="11" t="s">
        <v>75</v>
      </c>
      <c r="E6" s="11" t="s">
        <v>74</v>
      </c>
    </row>
    <row r="7" spans="1:5" ht="15.5" x14ac:dyDescent="0.3">
      <c r="A7" s="10">
        <v>6</v>
      </c>
      <c r="B7" s="11" t="s">
        <v>6</v>
      </c>
      <c r="C7" s="11" t="s">
        <v>6</v>
      </c>
      <c r="D7" s="11" t="s">
        <v>75</v>
      </c>
      <c r="E7" s="11" t="s">
        <v>74</v>
      </c>
    </row>
    <row r="8" spans="1:5" ht="15.5" x14ac:dyDescent="0.3">
      <c r="A8" s="10">
        <v>7</v>
      </c>
      <c r="B8" s="11" t="s">
        <v>7</v>
      </c>
      <c r="C8" s="11" t="s">
        <v>7</v>
      </c>
      <c r="D8" s="11" t="s">
        <v>75</v>
      </c>
      <c r="E8" s="11" t="s">
        <v>74</v>
      </c>
    </row>
    <row r="9" spans="1:5" ht="15.5" x14ac:dyDescent="0.3">
      <c r="A9" s="10">
        <v>8</v>
      </c>
      <c r="B9" s="11" t="s">
        <v>77</v>
      </c>
      <c r="C9" s="11" t="s">
        <v>77</v>
      </c>
      <c r="D9" s="11" t="s">
        <v>75</v>
      </c>
      <c r="E9" s="11" t="s">
        <v>74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0"/>
  <sheetViews>
    <sheetView rightToLeft="1" workbookViewId="0">
      <selection activeCell="I2" sqref="D2:I2"/>
    </sheetView>
  </sheetViews>
  <sheetFormatPr defaultRowHeight="12.75" x14ac:dyDescent="0.3"/>
  <cols>
    <col min="1" max="1" width="26.75" bestFit="1" customWidth="1"/>
    <col min="2" max="2" width="9.75" bestFit="1" customWidth="1"/>
    <col min="3" max="3" width="6.58203125" bestFit="1" customWidth="1"/>
    <col min="4" max="4" width="9.5" bestFit="1" customWidth="1"/>
    <col min="5" max="5" width="10.08203125" bestFit="1" customWidth="1"/>
    <col min="6" max="6" width="7.1640625" bestFit="1" customWidth="1"/>
    <col min="7" max="7" width="8.08203125" bestFit="1" customWidth="1"/>
    <col min="8" max="8" width="11.4140625" bestFit="1" customWidth="1"/>
    <col min="9" max="9" width="10.33203125" bestFit="1" customWidth="1"/>
  </cols>
  <sheetData>
    <row r="1" spans="1:9" ht="12.5" customHeight="1" x14ac:dyDescent="0.3">
      <c r="A1" s="5" t="s">
        <v>0</v>
      </c>
      <c r="B1" s="5"/>
      <c r="C1" s="5"/>
      <c r="D1" s="5"/>
      <c r="E1" s="5"/>
      <c r="F1" s="5"/>
      <c r="G1" s="5"/>
      <c r="H1" s="5"/>
      <c r="I1" s="5"/>
    </row>
    <row r="2" spans="1:9" ht="14" x14ac:dyDescent="0.3">
      <c r="A2" s="4" t="s">
        <v>1</v>
      </c>
      <c r="B2" s="1" t="s">
        <v>2</v>
      </c>
      <c r="C2" s="1" t="s">
        <v>3</v>
      </c>
      <c r="D2" s="1" t="s">
        <v>4</v>
      </c>
      <c r="E2" s="1" t="s">
        <v>5</v>
      </c>
      <c r="F2" s="1" t="s">
        <v>6</v>
      </c>
      <c r="G2" s="1" t="s">
        <v>7</v>
      </c>
      <c r="H2" s="1" t="s">
        <v>8</v>
      </c>
      <c r="I2" s="1" t="s">
        <v>9</v>
      </c>
    </row>
    <row r="3" spans="1:9" ht="14" x14ac:dyDescent="0.3">
      <c r="A3" s="4"/>
      <c r="B3" s="1">
        <v>2023</v>
      </c>
      <c r="C3" s="1">
        <v>2023</v>
      </c>
      <c r="D3" s="1">
        <v>2023</v>
      </c>
      <c r="E3" s="1">
        <v>2023</v>
      </c>
      <c r="F3" s="1">
        <v>2023</v>
      </c>
      <c r="G3" s="1">
        <v>2023</v>
      </c>
      <c r="H3" s="1">
        <v>2023</v>
      </c>
      <c r="I3" s="1">
        <v>2023</v>
      </c>
    </row>
    <row r="4" spans="1:9" ht="14" x14ac:dyDescent="0.3">
      <c r="A4" s="2" t="s">
        <v>10</v>
      </c>
      <c r="B4" s="3">
        <f>((448887+10112393+(4502748+4312346)+1350641+1634989+12464027)+5273162)</f>
        <v>40099193</v>
      </c>
      <c r="C4" s="3">
        <f>((0+0+(0+0)+0+0+0)+0)</f>
        <v>0</v>
      </c>
      <c r="D4" s="3">
        <f>((0+0+(0+0)+0+0+0)+0)</f>
        <v>0</v>
      </c>
      <c r="E4" s="3">
        <f>(((448887+10112393+(4502748+4312346)+1350641+1634989+12464027)+5273162)+((0+0+(0+0)+0+0+0)+0)+((0+0+(0+0)+0+0+0)+0))</f>
        <v>40099193</v>
      </c>
      <c r="F4" s="3">
        <f>((578+837770+(0+0)+222+52327+58489)+0)</f>
        <v>949386</v>
      </c>
      <c r="G4" s="3">
        <f>((309025+7810598+(789667+691250)+815796+1082391+11341771)+1434178)</f>
        <v>24274676</v>
      </c>
      <c r="H4" s="3">
        <f>(((578+837770+(0+0)+222+52327+58489)+0)+((309025+7810598+(789667+691250)+815796+1082391+11341771)+1434178))</f>
        <v>25224062</v>
      </c>
      <c r="I4" s="3">
        <f>((((448887+10112393+(4502748+4312346)+1350641+1634989+12464027)+5273162)+((0+0+(0+0)+0+0+0)+0)+((0+0+(0+0)+0+0+0)+0))-(((578+837770+(0+0)+222+52327+58489)+0)+((309025+7810598+(789667+691250)+815796+1082391+11341771)+1434178)))</f>
        <v>14875131</v>
      </c>
    </row>
    <row r="5" spans="1:9" ht="14" x14ac:dyDescent="0.3">
      <c r="A5" s="2" t="s">
        <v>11</v>
      </c>
      <c r="B5" s="3">
        <f>((0+0+(0+0)+0+0+2691105)+4240321)</f>
        <v>6931426</v>
      </c>
      <c r="C5" s="3">
        <f>((0+0+(0+0)+0+0+0)+0)</f>
        <v>0</v>
      </c>
      <c r="D5" s="3">
        <f>((0+0+(0+0)+0+0+0)+0)</f>
        <v>0</v>
      </c>
      <c r="E5" s="3">
        <f>(((0+0+(0+0)+0+0+2691105)+4240321)+((0+0+(0+0)+0+0+0)+0)+((0+0+(0+0)+0+0+0)+0))</f>
        <v>6931426</v>
      </c>
      <c r="F5" s="3">
        <f>((0+0+(0+0)+0+0+0)+0)</f>
        <v>0</v>
      </c>
      <c r="G5" s="3">
        <f>((0+0+(0+0)+0+0+25172)+2428329)</f>
        <v>2453501</v>
      </c>
      <c r="H5" s="3">
        <f>(((0+0+(0+0)+0+0+0)+0)+((0+0+(0+0)+0+0+25172)+2428329))</f>
        <v>2453501</v>
      </c>
      <c r="I5" s="3">
        <f>((((0+0+(0+0)+0+0+2691105)+4240321)+((0+0+(0+0)+0+0+0)+0)+((0+0+(0+0)+0+0+0)+0))-(((0+0+(0+0)+0+0+0)+0)+((0+0+(0+0)+0+0+25172)+2428329)))</f>
        <v>4477925</v>
      </c>
    </row>
    <row r="6" spans="1:9" ht="14" x14ac:dyDescent="0.3">
      <c r="A6" s="2" t="s">
        <v>12</v>
      </c>
      <c r="B6" s="3">
        <f>((2832249+5767715+(6539450+8548494)+846509+399589+3444028)+2564862)</f>
        <v>30942896</v>
      </c>
      <c r="C6" s="3">
        <f>((8453+135680+(0+0)+0+30380+0)+0)</f>
        <v>174513</v>
      </c>
      <c r="D6" s="3">
        <f>((0+0+(0+0)+0+0+0)+0)</f>
        <v>0</v>
      </c>
      <c r="E6" s="3">
        <f>(((2832249+5767715+(6539450+8548494)+846509+399589+3444028)+2564862)+((8453+135680+(0+0)+0+30380+0)+0)+((0+0+(0+0)+0+0+0)+0))</f>
        <v>31117409</v>
      </c>
      <c r="F6" s="3">
        <f>((214896+1294306+(0+0)+0+37007+0)+0)</f>
        <v>1546209</v>
      </c>
      <c r="G6" s="3">
        <f>((2563344+4447857+(881456+1176272)+644312+341576+2792172)+1416927)</f>
        <v>14263916</v>
      </c>
      <c r="H6" s="3">
        <f>(((214896+1294306+(0+0)+0+37007+0)+0)+((2563344+4447857+(881456+1176272)+644312+341576+2792172)+1416927))</f>
        <v>15810125</v>
      </c>
      <c r="I6" s="3">
        <f>((((2832249+5767715+(6539450+8548494)+846509+399589+3444028)+2564862)+((8453+135680+(0+0)+0+30380+0)+0)+((0+0+(0+0)+0+0+0)+0))-(((214896+1294306+(0+0)+0+37007+0)+0)+((2563344+4447857+(881456+1176272)+644312+341576+2792172)+1416927)))</f>
        <v>15307284</v>
      </c>
    </row>
    <row r="7" spans="1:9" ht="14" x14ac:dyDescent="0.3">
      <c r="A7" s="2" t="s">
        <v>13</v>
      </c>
      <c r="B7" s="3">
        <f>((340147+3292762+(2632193+2545693)+508070+1607667+595964)+1716509)</f>
        <v>13239005</v>
      </c>
      <c r="C7" s="3">
        <f>((98618+694102+(0+0)+0+78083+0)+323008)</f>
        <v>1193811</v>
      </c>
      <c r="D7" s="3">
        <f>((0+0+(0+0)+0+0+0)+0)</f>
        <v>0</v>
      </c>
      <c r="E7" s="3">
        <f>(((340147+3292762+(2632193+2545693)+508070+1607667+595964)+1716509)+((98618+694102+(0+0)+0+78083+0)+323008)+((0+0+(0+0)+0+0+0)+0))</f>
        <v>14432816</v>
      </c>
      <c r="F7" s="3">
        <f>((554+475722+(0+0)+230+60405+725)+0)</f>
        <v>537636</v>
      </c>
      <c r="G7" s="3">
        <f>((0+1654214+(96617+111225)+84317+727757+67084)+0)</f>
        <v>2741214</v>
      </c>
      <c r="H7" s="3">
        <f>(((554+475722+(0+0)+230+60405+725)+0)+((0+1654214+(96617+111225)+84317+727757+67084)+0))</f>
        <v>3278850</v>
      </c>
      <c r="I7" s="3">
        <f>((((340147+3292762+(2632193+2545693)+508070+1607667+595964)+1716509)+((98618+694102+(0+0)+0+78083+0)+323008)+((0+0+(0+0)+0+0+0)+0))-(((554+475722+(0+0)+230+60405+725)+0)+((0+1654214+(96617+111225)+84317+727757+67084)+0)))</f>
        <v>11153966</v>
      </c>
    </row>
    <row r="8" spans="1:9" ht="14" x14ac:dyDescent="0.3">
      <c r="A8" s="2" t="s">
        <v>14</v>
      </c>
      <c r="B8" s="3">
        <f>((9014+280686+(7113989+8566461)+203305+649954+167862)+160701726)</f>
        <v>177692997</v>
      </c>
      <c r="C8" s="3">
        <f>((0+0+(0+0)+0+0+0)+0)</f>
        <v>0</v>
      </c>
      <c r="D8" s="3">
        <f>((0+0+(0+0)+0+0+0)+0)</f>
        <v>0</v>
      </c>
      <c r="E8" s="3">
        <f>(((9014+280686+(7113989+8566461)+203305+649954+167862)+160701726)+((0+0+(0+0)+0+0+0)+0)+((0+0+(0+0)+0+0+0)+0))</f>
        <v>177692997</v>
      </c>
      <c r="F8" s="3">
        <f>((3183+76670+(3161+6537)+0+197767+10304)+0)</f>
        <v>297622</v>
      </c>
      <c r="G8" s="3">
        <f>((5183+133944+(174033+231989)+66639+302307+87783)+29276375)</f>
        <v>30278253</v>
      </c>
      <c r="H8" s="3">
        <f>(((3183+76670+(3161+6537)+0+197767+10304)+0)+((5183+133944+(174033+231989)+66639+302307+87783)+29276375))</f>
        <v>30575875</v>
      </c>
      <c r="I8" s="3">
        <f>((((9014+280686+(7113989+8566461)+203305+649954+167862)+160701726)+((0+0+(0+0)+0+0+0)+0)+((0+0+(0+0)+0+0+0)+0))-(((3183+76670+(3161+6537)+0+197767+10304)+0)+((5183+133944+(174033+231989)+66639+302307+87783)+29276375)))</f>
        <v>147117122</v>
      </c>
    </row>
    <row r="9" spans="1:9" ht="14" x14ac:dyDescent="0.3">
      <c r="A9" s="2" t="s">
        <v>15</v>
      </c>
      <c r="B9" s="3">
        <f>((4114944+14474949+(4154592+3378310)+4210193+6762768+1121715)+15183027)</f>
        <v>53400498</v>
      </c>
      <c r="C9" s="3">
        <f>((4482+245791+(0+0)+0+55765+0)+0)</f>
        <v>306038</v>
      </c>
      <c r="D9" s="3">
        <f>((15366+10653+(0+0)+0+15660+0)+0)</f>
        <v>41679</v>
      </c>
      <c r="E9" s="3">
        <f>(((4114944+14474949+(4154592+3378310)+4210193+6762768+1121715)+15183027)+((4482+245791+(0+0)+0+55765+0)+0)+((15366+10653+(0+0)+0+15660+0)+0))</f>
        <v>53748215</v>
      </c>
      <c r="F9" s="3">
        <f>((147+622091+(0+0)+2167+332101+0)+0)</f>
        <v>956506</v>
      </c>
      <c r="G9" s="3">
        <f>((3982386+13335096+(450625+36318)+3757032+5685681+529552)+4596831)</f>
        <v>32373521</v>
      </c>
      <c r="H9" s="3">
        <f>(((147+622091+(0+0)+2167+332101+0)+0)+((3982386+13335096+(450625+36318)+3757032+5685681+529552)+4596831))</f>
        <v>33330027</v>
      </c>
      <c r="I9" s="3">
        <f>((((4114944+14474949+(4154592+3378310)+4210193+6762768+1121715)+15183027)+((4482+245791+(0+0)+0+55765+0)+0)+((15366+10653+(0+0)+0+15660+0)+0))-(((147+622091+(0+0)+2167+332101+0)+0)+((3982386+13335096+(450625+36318)+3757032+5685681+529552)+4596831)))</f>
        <v>20418188</v>
      </c>
    </row>
    <row r="10" spans="1:9" ht="14" x14ac:dyDescent="0.3">
      <c r="A10" s="2" t="s">
        <v>16</v>
      </c>
      <c r="B10" s="3">
        <f>((1089+1776254+(3411891+4146722)+287447+305689+209916)+6460519)</f>
        <v>16599527</v>
      </c>
      <c r="C10" s="3">
        <f>((0+0+(0+0)+0+0+0)+0)</f>
        <v>0</v>
      </c>
      <c r="D10" s="3">
        <f>((0+0+(0+0)+0+0+0)+0)</f>
        <v>0</v>
      </c>
      <c r="E10" s="3">
        <f>(((1089+1776254+(3411891+4146722)+287447+305689+209916)+6460519)+((0+0+(0+0)+0+0+0)+0)+((0+0+(0+0)+0+0+0)+0))</f>
        <v>16599527</v>
      </c>
      <c r="F10" s="3">
        <f>((2930+154778+(22154+22312)+18787+30122+10690)+116824)</f>
        <v>378597</v>
      </c>
      <c r="G10" s="3">
        <f>((25286+1430117+(192501+193973)+222599+262759+166661)+1810887)</f>
        <v>4304783</v>
      </c>
      <c r="H10" s="3">
        <f>(((2930+154778+(22154+22312)+18787+30122+10690)+116824)+((25286+1430117+(192501+193973)+222599+262759+166661)+1810887))</f>
        <v>4683380</v>
      </c>
      <c r="I10" s="3">
        <f>((((1089+1776254+(3411891+4146722)+287447+305689+209916)+6460519)+((0+0+(0+0)+0+0+0)+0)+((0+0+(0+0)+0+0+0)+0))-(((2930+154778+(22154+22312)+18787+30122+10690)+116824)+((25286+1430117+(192501+193973)+222599+262759+166661)+1810887)))</f>
        <v>11916147</v>
      </c>
    </row>
    <row r="11" spans="1:9" ht="14" x14ac:dyDescent="0.3">
      <c r="A11" s="2" t="s">
        <v>17</v>
      </c>
      <c r="B11" s="3">
        <f>((49680+121789+(352500+849129)+6395+12915+17284)+0)</f>
        <v>1409692</v>
      </c>
      <c r="C11" s="3">
        <f>(((-1468)+288444+(0+0)+0+17856+0)+0)</f>
        <v>304832</v>
      </c>
      <c r="D11" s="3">
        <f>((0+0+(0+0)+0+0+0)+0)</f>
        <v>0</v>
      </c>
      <c r="E11" s="3">
        <f>(((49680+121789+(352500+849129)+6395+12915+17284)+0)+(((-1468)+288444+(0+0)+0+17856+0)+0)+((0+0+(0+0)+0+0+0)+0))</f>
        <v>1714524</v>
      </c>
      <c r="F11" s="3">
        <f>((0+0+(0+0)+0+0+0)+0)</f>
        <v>0</v>
      </c>
      <c r="G11" s="3">
        <f>((7381+33691+(0+0)+0+2318+3764)+0)</f>
        <v>47154</v>
      </c>
      <c r="H11" s="3">
        <f>(((0+0+(0+0)+0+0+0)+0)+((7381+33691+(0+0)+0+2318+3764)+0))</f>
        <v>47154</v>
      </c>
      <c r="I11" s="3">
        <f>((((49680+121789+(352500+849129)+6395+12915+17284)+0)+(((-1468)+288444+(0+0)+0+17856+0)+0)+((0+0+(0+0)+0+0+0)+0))-(((0+0+(0+0)+0+0+0)+0)+((7381+33691+(0+0)+0+2318+3764)+0)))</f>
        <v>1667370</v>
      </c>
    </row>
    <row r="12" spans="1:9" ht="14" x14ac:dyDescent="0.3">
      <c r="A12" s="2" t="s">
        <v>18</v>
      </c>
      <c r="B12" s="3">
        <f>((15815+375228+(274326+63273)+51721+41248+15606)+805122)</f>
        <v>1642339</v>
      </c>
      <c r="C12" s="3">
        <f>((0+98957+(0+0)+0+24338+0)+0)</f>
        <v>123295</v>
      </c>
      <c r="D12" s="3">
        <f>((0+0+(0+0)+0+0+0)+0)</f>
        <v>0</v>
      </c>
      <c r="E12" s="3">
        <f>(((15815+375228+(274326+63273)+51721+41248+15606)+805122)+((0+98957+(0+0)+0+24338+0)+0)+((0+0+(0+0)+0+0+0)+0))</f>
        <v>1765634</v>
      </c>
      <c r="F12" s="3">
        <f>((0+60781+(0+0)+0+9062+0)+0)</f>
        <v>69843</v>
      </c>
      <c r="G12" s="3">
        <f>((13441+357402+(23668+3901)+11829+46449+12385)+15962)</f>
        <v>485037</v>
      </c>
      <c r="H12" s="3">
        <f>(((0+60781+(0+0)+0+9062+0)+0)+((13441+357402+(23668+3901)+11829+46449+12385)+15962))</f>
        <v>554880</v>
      </c>
      <c r="I12" s="3">
        <f>((((15815+375228+(274326+63273)+51721+41248+15606)+805122)+((0+98957+(0+0)+0+24338+0)+0)+((0+0+(0+0)+0+0+0)+0))-(((0+60781+(0+0)+0+9062+0)+0)+((13441+357402+(23668+3901)+11829+46449+12385)+15962)))</f>
        <v>1210754</v>
      </c>
    </row>
    <row r="13" spans="1:9" ht="14" x14ac:dyDescent="0.3">
      <c r="A13" s="2" t="s">
        <v>19</v>
      </c>
      <c r="B13" s="3">
        <f>((735002+4211483+(3329502+1731416)+2513464+982106+271180)+2512935)</f>
        <v>16287088</v>
      </c>
      <c r="C13" s="3">
        <f>((2316+717653+(0+0)+0+4499+0)+0)</f>
        <v>724468</v>
      </c>
      <c r="D13" s="3">
        <f>((0+0+(0+0)+0+0+0)+0)</f>
        <v>0</v>
      </c>
      <c r="E13" s="3">
        <f>(((735002+4211483+(3329502+1731416)+2513464+982106+271180)+2512935)+((2316+717653+(0+0)+0+4499+0)+0)+((0+0+(0+0)+0+0+0)+0))</f>
        <v>17011556</v>
      </c>
      <c r="F13" s="3">
        <f>((2292+105836+(0+0)+661+16904+6822)+0)</f>
        <v>132515</v>
      </c>
      <c r="G13" s="3">
        <f>((629514+4538383+(1087232+591290)+2427186+909514+213521)+2019003)</f>
        <v>12415643</v>
      </c>
      <c r="H13" s="3">
        <f>(((2292+105836+(0+0)+661+16904+6822)+0)+((629514+4538383+(1087232+591290)+2427186+909514+213521)+2019003))</f>
        <v>12548158</v>
      </c>
      <c r="I13" s="3">
        <f>((((735002+4211483+(3329502+1731416)+2513464+982106+271180)+2512935)+((2316+717653+(0+0)+0+4499+0)+0)+((0+0+(0+0)+0+0+0)+0))-(((2292+105836+(0+0)+661+16904+6822)+0)+((629514+4538383+(1087232+591290)+2427186+909514+213521)+2019003)))</f>
        <v>4463398</v>
      </c>
    </row>
    <row r="14" spans="1:9" ht="14" x14ac:dyDescent="0.3">
      <c r="A14" s="2" t="s">
        <v>20</v>
      </c>
      <c r="B14" s="3">
        <f>((265542+4130732+(310316+6575)+1036176+711560+426141)+1863434)</f>
        <v>8750476</v>
      </c>
      <c r="C14" s="3">
        <f>((5955+369168+(0+0)+0+5318+0)+0)</f>
        <v>380441</v>
      </c>
      <c r="D14" s="3">
        <f>((46145+0+(0+0)+0+0+10038)+0)</f>
        <v>56183</v>
      </c>
      <c r="E14" s="3">
        <f>(((265542+4130732+(310316+6575)+1036176+711560+426141)+1863434)+((5955+369168+(0+0)+0+5318+0)+0)+((46145+0+(0+0)+0+0+10038)+0))</f>
        <v>9187100</v>
      </c>
      <c r="F14" s="3">
        <f>(((-3176)+1923985+(0+0)+0+71507+3437)+0)</f>
        <v>1995753</v>
      </c>
      <c r="G14" s="3">
        <f>((201125+2628574+(47729+95)+840048+514989+410214)+1241791)</f>
        <v>5884565</v>
      </c>
      <c r="H14" s="3">
        <f>((((-3176)+1923985+(0+0)+0+71507+3437)+0)+((201125+2628574+(47729+95)+840048+514989+410214)+1241791))</f>
        <v>7880318</v>
      </c>
      <c r="I14" s="3">
        <f>((((265542+4130732+(310316+6575)+1036176+711560+426141)+1863434)+((5955+369168+(0+0)+0+5318+0)+0)+((46145+0+(0+0)+0+0+10038)+0))-((((-3176)+1923985+(0+0)+0+71507+3437)+0)+((201125+2628574+(47729+95)+840048+514989+410214)+1241791)))</f>
        <v>1306782</v>
      </c>
    </row>
    <row r="15" spans="1:9" ht="14" x14ac:dyDescent="0.3">
      <c r="A15" s="2" t="s">
        <v>21</v>
      </c>
      <c r="B15" s="3">
        <f>((0+0+(0+0)+0+0+0)+5058467)</f>
        <v>5058467</v>
      </c>
      <c r="C15" s="3">
        <f>((0+0+(0+0)+0+0+0)+0)</f>
        <v>0</v>
      </c>
      <c r="D15" s="3">
        <f>((0+0+(0+0)+0+0+0)+0)</f>
        <v>0</v>
      </c>
      <c r="E15" s="3">
        <f>(((0+0+(0+0)+0+0+0)+5058467)+((0+0+(0+0)+0+0+0)+0)+((0+0+(0+0)+0+0+0)+0))</f>
        <v>5058467</v>
      </c>
      <c r="F15" s="3">
        <f>((0+0+(0+0)+0+0+0)+0)</f>
        <v>0</v>
      </c>
      <c r="G15" s="3">
        <f>((0+0+(0+0)+0+0+0)+165677)</f>
        <v>165677</v>
      </c>
      <c r="H15" s="3">
        <f>(((0+0+(0+0)+0+0+0)+0)+((0+0+(0+0)+0+0+0)+165677))</f>
        <v>165677</v>
      </c>
      <c r="I15" s="3">
        <f>((((0+0+(0+0)+0+0+0)+5058467)+((0+0+(0+0)+0+0+0)+0)+((0+0+(0+0)+0+0+0)+0))-(((0+0+(0+0)+0+0+0)+0)+((0+0+(0+0)+0+0+0)+165677)))</f>
        <v>4892790</v>
      </c>
    </row>
    <row r="16" spans="1:9" ht="14" x14ac:dyDescent="0.3">
      <c r="A16" s="2" t="s">
        <v>22</v>
      </c>
      <c r="B16" s="3">
        <f>((6323120+26314378+(5267494+10510012)+2124684+2211768+3894066)+4295006)</f>
        <v>60940528</v>
      </c>
      <c r="C16" s="3">
        <f>((0+85841+(0+0)+0+82100+0)+0)</f>
        <v>167941</v>
      </c>
      <c r="D16" s="3">
        <f>((0+0+(0+0)+0+0+0)+0)</f>
        <v>0</v>
      </c>
      <c r="E16" s="3">
        <f>(((6323120+26314378+(5267494+10510012)+2124684+2211768+3894066)+4295006)+((0+85841+(0+0)+0+82100+0)+0)+((0+0+(0+0)+0+0+0)+0))</f>
        <v>61108469</v>
      </c>
      <c r="F16" s="3">
        <f>((2326+1604743+(0+0)+18000+69525+0)+0)</f>
        <v>1694594</v>
      </c>
      <c r="G16" s="3">
        <f>((5881022+23580829+(251452+345396)+1953529+1940029+2017108)+1796440)</f>
        <v>37765805</v>
      </c>
      <c r="H16" s="3">
        <f>(((2326+1604743+(0+0)+18000+69525+0)+0)+((5881022+23580829+(251452+345396)+1953529+1940029+2017108)+1796440))</f>
        <v>39460399</v>
      </c>
      <c r="I16" s="3">
        <f>((((6323120+26314378+(5267494+10510012)+2124684+2211768+3894066)+4295006)+((0+85841+(0+0)+0+82100+0)+0)+((0+0+(0+0)+0+0+0)+0))-(((2326+1604743+(0+0)+18000+69525+0)+0)+((5881022+23580829+(251452+345396)+1953529+1940029+2017108)+1796440)))</f>
        <v>21648070</v>
      </c>
    </row>
    <row r="17" spans="1:9" ht="14" x14ac:dyDescent="0.3">
      <c r="A17" s="2" t="s">
        <v>23</v>
      </c>
      <c r="B17" s="3">
        <f>((956419+6953573+(276877+3390)+646219+508383+397363)+1917916)</f>
        <v>11660140</v>
      </c>
      <c r="C17" s="3">
        <f>((9607+2473627+(0+0)+0+158221+0)+0)</f>
        <v>2641455</v>
      </c>
      <c r="D17" s="3">
        <f>((0+0+(0+0)+0+0+0)+0)</f>
        <v>0</v>
      </c>
      <c r="E17" s="3">
        <f>(((956419+6953573+(276877+3390)+646219+508383+397363)+1917916)+((9607+2473627+(0+0)+0+158221+0)+0)+((0+0+(0+0)+0+0+0)+0))</f>
        <v>14301595</v>
      </c>
      <c r="F17" s="3">
        <f>((0+0+(0+0)+0+0+0)+0)</f>
        <v>0</v>
      </c>
      <c r="G17" s="3">
        <f>((911865+9322948+(157646+2989)+567359+506095+372266)+261549)</f>
        <v>12102717</v>
      </c>
      <c r="H17" s="3">
        <f>(((0+0+(0+0)+0+0+0)+0)+((911865+9322948+(157646+2989)+567359+506095+372266)+261549))</f>
        <v>12102717</v>
      </c>
      <c r="I17" s="3">
        <f>((((956419+6953573+(276877+3390)+646219+508383+397363)+1917916)+((9607+2473627+(0+0)+0+158221+0)+0)+((0+0+(0+0)+0+0+0)+0))-(((0+0+(0+0)+0+0+0)+0)+((911865+9322948+(157646+2989)+567359+506095+372266)+261549)))</f>
        <v>2198878</v>
      </c>
    </row>
    <row r="18" spans="1:9" ht="14" x14ac:dyDescent="0.3">
      <c r="A18" s="2" t="s">
        <v>24</v>
      </c>
      <c r="B18" s="3">
        <f>((415651+7593076+(2906584+2663620)+1019399+1461276+246424)+3413907)</f>
        <v>19719937</v>
      </c>
      <c r="C18" s="3">
        <f>((0+30774+(0+0)+0+0+0)+0)</f>
        <v>30774</v>
      </c>
      <c r="D18" s="3">
        <f>((0+0+(0+0)+0+0+0)+0)</f>
        <v>0</v>
      </c>
      <c r="E18" s="3">
        <f>(((415651+7593076+(2906584+2663620)+1019399+1461276+246424)+3413907)+((0+30774+(0+0)+0+0+0)+0)+((0+0+(0+0)+0+0+0)+0))</f>
        <v>19750711</v>
      </c>
      <c r="F18" s="3">
        <f>((0+53778+(0+0)+0+5525+0)+0)</f>
        <v>59303</v>
      </c>
      <c r="G18" s="3">
        <f>((391218+7457197+(1127759+1031870)+842578+1371314+213146)+2542775)</f>
        <v>14977857</v>
      </c>
      <c r="H18" s="3">
        <f>(((0+53778+(0+0)+0+5525+0)+0)+((391218+7457197+(1127759+1031870)+842578+1371314+213146)+2542775))</f>
        <v>15037160</v>
      </c>
      <c r="I18" s="3">
        <f>((((415651+7593076+(2906584+2663620)+1019399+1461276+246424)+3413907)+((0+30774+(0+0)+0+0+0)+0)+((0+0+(0+0)+0+0+0)+0))-(((0+53778+(0+0)+0+5525+0)+0)+((391218+7457197+(1127759+1031870)+842578+1371314+213146)+2542775)))</f>
        <v>4713551</v>
      </c>
    </row>
    <row r="19" spans="1:9" ht="14" x14ac:dyDescent="0.3">
      <c r="A19" s="2" t="s">
        <v>25</v>
      </c>
      <c r="B19" s="3">
        <f>((613374+3017175+(1973440+2517947)+116322+466141+226133)+(-7972035))</f>
        <v>958497</v>
      </c>
      <c r="C19" s="3">
        <f>((0+1042528+(0+0)+0+141215+0)+0)</f>
        <v>1183743</v>
      </c>
      <c r="D19" s="3">
        <f>((0+0+(0+0)+0+0+0)+0)</f>
        <v>0</v>
      </c>
      <c r="E19" s="3">
        <f>(((613374+3017175+(1973440+2517947)+116322+466141+226133)+(-7972035))+((0+1042528+(0+0)+0+141215+0)+0)+((0+0+(0+0)+0+0+0)+0))</f>
        <v>2142240</v>
      </c>
      <c r="F19" s="3">
        <f>((52886+617374+(0+0)+0+19958+33168)+0)</f>
        <v>723386</v>
      </c>
      <c r="G19" s="3">
        <f>((348185+1135622+(176896+0)+9808+200256+78429)+0)</f>
        <v>1949196</v>
      </c>
      <c r="H19" s="3">
        <f>(((52886+617374+(0+0)+0+19958+33168)+0)+((348185+1135622+(176896+0)+9808+200256+78429)+0))</f>
        <v>2672582</v>
      </c>
      <c r="I19" s="3">
        <f>((((613374+3017175+(1973440+2517947)+116322+466141+226133)+(-7972035))+((0+1042528+(0+0)+0+141215+0)+0)+((0+0+(0+0)+0+0+0)+0))-(((52886+617374+(0+0)+0+19958+33168)+0)+((348185+1135622+(176896+0)+9808+200256+78429)+0)))</f>
        <v>-530342</v>
      </c>
    </row>
    <row r="20" spans="1:9" ht="14" x14ac:dyDescent="0.3">
      <c r="A20" s="2" t="s">
        <v>26</v>
      </c>
      <c r="B20" s="3">
        <f>((754620+1544466+(5439354+1630126)+651891+1060273+1162442)+3489937)</f>
        <v>15733109</v>
      </c>
      <c r="C20" s="3">
        <f>((185271+126699+(0+0)+0+47743+15563)+0)</f>
        <v>375276</v>
      </c>
      <c r="D20" s="3">
        <f>((0+0+(0+0)+0+0+0)+0)</f>
        <v>0</v>
      </c>
      <c r="E20" s="3">
        <f>(((754620+1544466+(5439354+1630126)+651891+1060273+1162442)+3489937)+((185271+126699+(0+0)+0+47743+15563)+0)+((0+0+(0+0)+0+0+0)+0))</f>
        <v>16108385</v>
      </c>
      <c r="F20" s="3">
        <f>((10350+126974+(0+0)+0+0+0)+0)</f>
        <v>137324</v>
      </c>
      <c r="G20" s="3">
        <f>((289786+674616+(52496+12986)+116387+581773+30804)+376975)</f>
        <v>2135823</v>
      </c>
      <c r="H20" s="3">
        <f>(((10350+126974+(0+0)+0+0+0)+0)+((289786+674616+(52496+12986)+116387+581773+30804)+376975))</f>
        <v>2273147</v>
      </c>
      <c r="I20" s="3">
        <f>((((754620+1544466+(5439354+1630126)+651891+1060273+1162442)+3489937)+((185271+126699+(0+0)+0+47743+15563)+0)+((0+0+(0+0)+0+0+0)+0))-(((10350+126974+(0+0)+0+0+0)+0)+((289786+674616+(52496+12986)+116387+581773+30804)+376975)))</f>
        <v>13835238</v>
      </c>
    </row>
    <row r="21" spans="1:9" ht="14" x14ac:dyDescent="0.3">
      <c r="A21" s="5" t="s">
        <v>27</v>
      </c>
      <c r="B21" s="5"/>
      <c r="C21" s="5"/>
      <c r="D21" s="5"/>
      <c r="E21" s="5"/>
      <c r="F21" s="5"/>
      <c r="G21" s="5"/>
      <c r="H21" s="5"/>
      <c r="I21" s="5"/>
    </row>
    <row r="22" spans="1:9" ht="14" x14ac:dyDescent="0.3">
      <c r="A22" s="4" t="s">
        <v>1</v>
      </c>
      <c r="B22" s="1" t="s">
        <v>2</v>
      </c>
      <c r="C22" s="1" t="s">
        <v>3</v>
      </c>
      <c r="D22" s="1" t="s">
        <v>4</v>
      </c>
      <c r="E22" s="1" t="s">
        <v>5</v>
      </c>
      <c r="F22" s="1" t="s">
        <v>6</v>
      </c>
      <c r="G22" s="1" t="s">
        <v>7</v>
      </c>
      <c r="H22" s="1" t="s">
        <v>8</v>
      </c>
      <c r="I22" s="1" t="s">
        <v>9</v>
      </c>
    </row>
    <row r="23" spans="1:9" ht="14" x14ac:dyDescent="0.3">
      <c r="A23" s="4"/>
      <c r="B23" s="1">
        <v>2023</v>
      </c>
      <c r="C23" s="1">
        <v>2023</v>
      </c>
      <c r="D23" s="1">
        <v>2023</v>
      </c>
      <c r="E23" s="1">
        <v>2023</v>
      </c>
      <c r="F23" s="1">
        <v>2023</v>
      </c>
      <c r="G23" s="1">
        <v>2023</v>
      </c>
      <c r="H23" s="1">
        <v>2023</v>
      </c>
      <c r="I23" s="1">
        <v>2023</v>
      </c>
    </row>
    <row r="24" spans="1:9" ht="14" x14ac:dyDescent="0.3">
      <c r="A24" s="2" t="s">
        <v>10</v>
      </c>
      <c r="B24" s="3">
        <f>(448887+10112393+(4502748+4312346)+1350641+1634989+12464027)</f>
        <v>34826031</v>
      </c>
      <c r="C24" s="3">
        <f>(0+0+(0+0)+0+0+0)</f>
        <v>0</v>
      </c>
      <c r="D24" s="3">
        <f>(0+0+(0+0)+0+0+0)</f>
        <v>0</v>
      </c>
      <c r="E24" s="3">
        <f>((448887+10112393+(4502748+4312346)+1350641+1634989+12464027)+(0+0+(0+0)+0+0+0)+(0+0+(0+0)+0+0+0))</f>
        <v>34826031</v>
      </c>
      <c r="F24" s="3">
        <f>(578+837770+(0+0)+222+52327+58489)</f>
        <v>949386</v>
      </c>
      <c r="G24" s="3">
        <f>(309025+7810598+(789667+691250)+815796+1082391+11341771)</f>
        <v>22840498</v>
      </c>
      <c r="H24" s="3">
        <f>((578+837770+(0+0)+222+52327+58489)+(309025+7810598+(789667+691250)+815796+1082391+11341771))</f>
        <v>23789884</v>
      </c>
      <c r="I24" s="3">
        <f>(((448887+10112393+(4502748+4312346)+1350641+1634989+12464027)+(0+0+(0+0)+0+0+0)+(0+0+(0+0)+0+0+0))-((578+837770+(0+0)+222+52327+58489)+(309025+7810598+(789667+691250)+815796+1082391+11341771)))</f>
        <v>11036147</v>
      </c>
    </row>
    <row r="25" spans="1:9" ht="14" x14ac:dyDescent="0.3">
      <c r="A25" s="2" t="s">
        <v>11</v>
      </c>
      <c r="B25" s="3">
        <f>(0+0+(0+0)+0+0+2691105)</f>
        <v>2691105</v>
      </c>
      <c r="C25" s="3">
        <f>(0+0+(0+0)+0+0+0)</f>
        <v>0</v>
      </c>
      <c r="D25" s="3">
        <f>(0+0+(0+0)+0+0+0)</f>
        <v>0</v>
      </c>
      <c r="E25" s="3">
        <f>((0+0+(0+0)+0+0+2691105)+(0+0+(0+0)+0+0+0)+(0+0+(0+0)+0+0+0))</f>
        <v>2691105</v>
      </c>
      <c r="F25" s="3">
        <f>(0+0+(0+0)+0+0+0)</f>
        <v>0</v>
      </c>
      <c r="G25" s="3">
        <f>(0+0+(0+0)+0+0+25172)</f>
        <v>25172</v>
      </c>
      <c r="H25" s="3">
        <f>((0+0+(0+0)+0+0+0)+(0+0+(0+0)+0+0+25172))</f>
        <v>25172</v>
      </c>
      <c r="I25" s="3">
        <f>(((0+0+(0+0)+0+0+2691105)+(0+0+(0+0)+0+0+0)+(0+0+(0+0)+0+0+0))-((0+0+(0+0)+0+0+0)+(0+0+(0+0)+0+0+25172)))</f>
        <v>2665933</v>
      </c>
    </row>
    <row r="26" spans="1:9" ht="14" x14ac:dyDescent="0.3">
      <c r="A26" s="2" t="s">
        <v>12</v>
      </c>
      <c r="B26" s="3">
        <f>(2832249+5767715+(6539450+8548494)+846509+399589+3444028)</f>
        <v>28378034</v>
      </c>
      <c r="C26" s="3">
        <f>(8453+135680+(0+0)+0+30380+0)</f>
        <v>174513</v>
      </c>
      <c r="D26" s="3">
        <f>(0+0+(0+0)+0+0+0)</f>
        <v>0</v>
      </c>
      <c r="E26" s="3">
        <f>((2832249+5767715+(6539450+8548494)+846509+399589+3444028)+(8453+135680+(0+0)+0+30380+0)+(0+0+(0+0)+0+0+0))</f>
        <v>28552547</v>
      </c>
      <c r="F26" s="3">
        <f>(214896+1294306+(0+0)+0+37007+0)</f>
        <v>1546209</v>
      </c>
      <c r="G26" s="3">
        <f>(2563344+4447857+(881456+1176272)+644312+341576+2792172)</f>
        <v>12846989</v>
      </c>
      <c r="H26" s="3">
        <f>((214896+1294306+(0+0)+0+37007+0)+(2563344+4447857+(881456+1176272)+644312+341576+2792172))</f>
        <v>14393198</v>
      </c>
      <c r="I26" s="3">
        <f>(((2832249+5767715+(6539450+8548494)+846509+399589+3444028)+(8453+135680+(0+0)+0+30380+0)+(0+0+(0+0)+0+0+0))-((214896+1294306+(0+0)+0+37007+0)+(2563344+4447857+(881456+1176272)+644312+341576+2792172)))</f>
        <v>14159349</v>
      </c>
    </row>
    <row r="27" spans="1:9" ht="14" x14ac:dyDescent="0.3">
      <c r="A27" s="2" t="s">
        <v>13</v>
      </c>
      <c r="B27" s="3">
        <f>(340147+3292762+(2632193+2545693)+508070+1607667+595964)</f>
        <v>11522496</v>
      </c>
      <c r="C27" s="3">
        <f>(98618+694102+(0+0)+0+78083+0)</f>
        <v>870803</v>
      </c>
      <c r="D27" s="3">
        <f>(0+0+(0+0)+0+0+0)</f>
        <v>0</v>
      </c>
      <c r="E27" s="3">
        <f>((340147+3292762+(2632193+2545693)+508070+1607667+595964)+(98618+694102+(0+0)+0+78083+0)+(0+0+(0+0)+0+0+0))</f>
        <v>12393299</v>
      </c>
      <c r="F27" s="3">
        <f>(554+475722+(0+0)+230+60405+725)</f>
        <v>537636</v>
      </c>
      <c r="G27" s="3">
        <f>(0+1654214+(96617+111225)+84317+727757+67084)</f>
        <v>2741214</v>
      </c>
      <c r="H27" s="3">
        <f>((554+475722+(0+0)+230+60405+725)+(0+1654214+(96617+111225)+84317+727757+67084))</f>
        <v>3278850</v>
      </c>
      <c r="I27" s="3">
        <f>(((340147+3292762+(2632193+2545693)+508070+1607667+595964)+(98618+694102+(0+0)+0+78083+0)+(0+0+(0+0)+0+0+0))-((554+475722+(0+0)+230+60405+725)+(0+1654214+(96617+111225)+84317+727757+67084)))</f>
        <v>9114449</v>
      </c>
    </row>
    <row r="28" spans="1:9" ht="14" x14ac:dyDescent="0.3">
      <c r="A28" s="2" t="s">
        <v>14</v>
      </c>
      <c r="B28" s="3">
        <f>(9014+280686+(7113989+8566461)+203305+649954+167862)</f>
        <v>16991271</v>
      </c>
      <c r="C28" s="3">
        <f>(0+0+(0+0)+0+0+0)</f>
        <v>0</v>
      </c>
      <c r="D28" s="3">
        <f>(0+0+(0+0)+0+0+0)</f>
        <v>0</v>
      </c>
      <c r="E28" s="3">
        <f>((9014+280686+(7113989+8566461)+203305+649954+167862)+(0+0+(0+0)+0+0+0)+(0+0+(0+0)+0+0+0))</f>
        <v>16991271</v>
      </c>
      <c r="F28" s="3">
        <f>(3183+76670+(3161+6537)+0+197767+10304)</f>
        <v>297622</v>
      </c>
      <c r="G28" s="3">
        <f>(5183+133944+(174033+231989)+66639+302307+87783)</f>
        <v>1001878</v>
      </c>
      <c r="H28" s="3">
        <f>((3183+76670+(3161+6537)+0+197767+10304)+(5183+133944+(174033+231989)+66639+302307+87783))</f>
        <v>1299500</v>
      </c>
      <c r="I28" s="3">
        <f>(((9014+280686+(7113989+8566461)+203305+649954+167862)+(0+0+(0+0)+0+0+0)+(0+0+(0+0)+0+0+0))-((3183+76670+(3161+6537)+0+197767+10304)+(5183+133944+(174033+231989)+66639+302307+87783)))</f>
        <v>15691771</v>
      </c>
    </row>
    <row r="29" spans="1:9" ht="14" x14ac:dyDescent="0.3">
      <c r="A29" s="2" t="s">
        <v>15</v>
      </c>
      <c r="B29" s="3">
        <f>(4114944+14474949+(4154592+3378310)+4210193+6762768+1121715)</f>
        <v>38217471</v>
      </c>
      <c r="C29" s="3">
        <f>(4482+245791+(0+0)+0+55765+0)</f>
        <v>306038</v>
      </c>
      <c r="D29" s="3">
        <f>(15366+10653+(0+0)+0+15660+0)</f>
        <v>41679</v>
      </c>
      <c r="E29" s="3">
        <f>((4114944+14474949+(4154592+3378310)+4210193+6762768+1121715)+(4482+245791+(0+0)+0+55765+0)+(15366+10653+(0+0)+0+15660+0))</f>
        <v>38565188</v>
      </c>
      <c r="F29" s="3">
        <f>(147+622091+(0+0)+2167+332101+0)</f>
        <v>956506</v>
      </c>
      <c r="G29" s="3">
        <f>(3982386+13335096+(450625+36318)+3757032+5685681+529552)</f>
        <v>27776690</v>
      </c>
      <c r="H29" s="3">
        <f>((147+622091+(0+0)+2167+332101+0)+(3982386+13335096+(450625+36318)+3757032+5685681+529552))</f>
        <v>28733196</v>
      </c>
      <c r="I29" s="3">
        <f>(((4114944+14474949+(4154592+3378310)+4210193+6762768+1121715)+(4482+245791+(0+0)+0+55765+0)+(15366+10653+(0+0)+0+15660+0))-((147+622091+(0+0)+2167+332101+0)+(3982386+13335096+(450625+36318)+3757032+5685681+529552)))</f>
        <v>9831992</v>
      </c>
    </row>
    <row r="30" spans="1:9" ht="14" x14ac:dyDescent="0.3">
      <c r="A30" s="2" t="s">
        <v>16</v>
      </c>
      <c r="B30" s="3">
        <f>(1089+1776254+(3411891+4146722)+287447+305689+209916)</f>
        <v>10139008</v>
      </c>
      <c r="C30" s="3">
        <f>(0+0+(0+0)+0+0+0)</f>
        <v>0</v>
      </c>
      <c r="D30" s="3">
        <f>(0+0+(0+0)+0+0+0)</f>
        <v>0</v>
      </c>
      <c r="E30" s="3">
        <f>((1089+1776254+(3411891+4146722)+287447+305689+209916)+(0+0+(0+0)+0+0+0)+(0+0+(0+0)+0+0+0))</f>
        <v>10139008</v>
      </c>
      <c r="F30" s="3">
        <f>(2930+154778+(22154+22312)+18787+30122+10690)</f>
        <v>261773</v>
      </c>
      <c r="G30" s="3">
        <f>(25286+1430117+(192501+193973)+222599+262759+166661)</f>
        <v>2493896</v>
      </c>
      <c r="H30" s="3">
        <f>((2930+154778+(22154+22312)+18787+30122+10690)+(25286+1430117+(192501+193973)+222599+262759+166661))</f>
        <v>2755669</v>
      </c>
      <c r="I30" s="3">
        <f>(((1089+1776254+(3411891+4146722)+287447+305689+209916)+(0+0+(0+0)+0+0+0)+(0+0+(0+0)+0+0+0))-((2930+154778+(22154+22312)+18787+30122+10690)+(25286+1430117+(192501+193973)+222599+262759+166661)))</f>
        <v>7383339</v>
      </c>
    </row>
    <row r="31" spans="1:9" ht="14" x14ac:dyDescent="0.3">
      <c r="A31" s="2" t="s">
        <v>17</v>
      </c>
      <c r="B31" s="3">
        <f>(49680+121789+(352500+849129)+6395+12915+17284)</f>
        <v>1409692</v>
      </c>
      <c r="C31" s="3">
        <f>((-1468)+288444+(0+0)+0+17856+0)</f>
        <v>304832</v>
      </c>
      <c r="D31" s="3">
        <f>(0+0+(0+0)+0+0+0)</f>
        <v>0</v>
      </c>
      <c r="E31" s="3">
        <f>((49680+121789+(352500+849129)+6395+12915+17284)+((-1468)+288444+(0+0)+0+17856+0)+(0+0+(0+0)+0+0+0))</f>
        <v>1714524</v>
      </c>
      <c r="F31" s="3">
        <f>(0+0+(0+0)+0+0+0)</f>
        <v>0</v>
      </c>
      <c r="G31" s="3">
        <f>(7381+33691+(0+0)+0+2318+3764)</f>
        <v>47154</v>
      </c>
      <c r="H31" s="3">
        <f>((0+0+(0+0)+0+0+0)+(7381+33691+(0+0)+0+2318+3764))</f>
        <v>47154</v>
      </c>
      <c r="I31" s="3">
        <f>(((49680+121789+(352500+849129)+6395+12915+17284)+((-1468)+288444+(0+0)+0+17856+0)+(0+0+(0+0)+0+0+0))-((0+0+(0+0)+0+0+0)+(7381+33691+(0+0)+0+2318+3764)))</f>
        <v>1667370</v>
      </c>
    </row>
    <row r="32" spans="1:9" ht="14" x14ac:dyDescent="0.3">
      <c r="A32" s="2" t="s">
        <v>18</v>
      </c>
      <c r="B32" s="3">
        <f>(15815+375228+(274326+63273)+51721+41248+15606)</f>
        <v>837217</v>
      </c>
      <c r="C32" s="3">
        <f>(0+98957+(0+0)+0+24338+0)</f>
        <v>123295</v>
      </c>
      <c r="D32" s="3">
        <f>(0+0+(0+0)+0+0+0)</f>
        <v>0</v>
      </c>
      <c r="E32" s="3">
        <f>((15815+375228+(274326+63273)+51721+41248+15606)+(0+98957+(0+0)+0+24338+0)+(0+0+(0+0)+0+0+0))</f>
        <v>960512</v>
      </c>
      <c r="F32" s="3">
        <f>(0+60781+(0+0)+0+9062+0)</f>
        <v>69843</v>
      </c>
      <c r="G32" s="3">
        <f>(13441+357402+(23668+3901)+11829+46449+12385)</f>
        <v>469075</v>
      </c>
      <c r="H32" s="3">
        <f>((0+60781+(0+0)+0+9062+0)+(13441+357402+(23668+3901)+11829+46449+12385))</f>
        <v>538918</v>
      </c>
      <c r="I32" s="3">
        <f>(((15815+375228+(274326+63273)+51721+41248+15606)+(0+98957+(0+0)+0+24338+0)+(0+0+(0+0)+0+0+0))-((0+60781+(0+0)+0+9062+0)+(13441+357402+(23668+3901)+11829+46449+12385)))</f>
        <v>421594</v>
      </c>
    </row>
    <row r="33" spans="1:9" ht="14" x14ac:dyDescent="0.3">
      <c r="A33" s="2" t="s">
        <v>19</v>
      </c>
      <c r="B33" s="3">
        <f>(735002+4211483+(3329502+1731416)+2513464+982106+271180)</f>
        <v>13774153</v>
      </c>
      <c r="C33" s="3">
        <f>(2316+717653+(0+0)+0+4499+0)</f>
        <v>724468</v>
      </c>
      <c r="D33" s="3">
        <f>(0+0+(0+0)+0+0+0)</f>
        <v>0</v>
      </c>
      <c r="E33" s="3">
        <f>((735002+4211483+(3329502+1731416)+2513464+982106+271180)+(2316+717653+(0+0)+0+4499+0)+(0+0+(0+0)+0+0+0))</f>
        <v>14498621</v>
      </c>
      <c r="F33" s="3">
        <f>(2292+105836+(0+0)+661+16904+6822)</f>
        <v>132515</v>
      </c>
      <c r="G33" s="3">
        <f>(629514+4538383+(1087232+591290)+2427186+909514+213521)</f>
        <v>10396640</v>
      </c>
      <c r="H33" s="3">
        <f>((2292+105836+(0+0)+661+16904+6822)+(629514+4538383+(1087232+591290)+2427186+909514+213521))</f>
        <v>10529155</v>
      </c>
      <c r="I33" s="3">
        <f>(((735002+4211483+(3329502+1731416)+2513464+982106+271180)+(2316+717653+(0+0)+0+4499+0)+(0+0+(0+0)+0+0+0))-((2292+105836+(0+0)+661+16904+6822)+(629514+4538383+(1087232+591290)+2427186+909514+213521)))</f>
        <v>3969466</v>
      </c>
    </row>
    <row r="34" spans="1:9" ht="14" x14ac:dyDescent="0.3">
      <c r="A34" s="2" t="s">
        <v>20</v>
      </c>
      <c r="B34" s="3">
        <f>(265542+4130732+(310316+6575)+1036176+711560+426141)</f>
        <v>6887042</v>
      </c>
      <c r="C34" s="3">
        <f>(5955+369168+(0+0)+0+5318+0)</f>
        <v>380441</v>
      </c>
      <c r="D34" s="3">
        <f>(46145+0+(0+0)+0+0+10038)</f>
        <v>56183</v>
      </c>
      <c r="E34" s="3">
        <f>((265542+4130732+(310316+6575)+1036176+711560+426141)+(5955+369168+(0+0)+0+5318+0)+(46145+0+(0+0)+0+0+10038))</f>
        <v>7323666</v>
      </c>
      <c r="F34" s="3">
        <f>((-3176)+1923985+(0+0)+0+71507+3437)</f>
        <v>1995753</v>
      </c>
      <c r="G34" s="3">
        <f>(201125+2628574+(47729+95)+840048+514989+410214)</f>
        <v>4642774</v>
      </c>
      <c r="H34" s="3">
        <f>(((-3176)+1923985+(0+0)+0+71507+3437)+(201125+2628574+(47729+95)+840048+514989+410214))</f>
        <v>6638527</v>
      </c>
      <c r="I34" s="3">
        <f>(((265542+4130732+(310316+6575)+1036176+711560+426141)+(5955+369168+(0+0)+0+5318+0)+(46145+0+(0+0)+0+0+10038))-(((-3176)+1923985+(0+0)+0+71507+3437)+(201125+2628574+(47729+95)+840048+514989+410214)))</f>
        <v>685139</v>
      </c>
    </row>
    <row r="35" spans="1:9" ht="14" x14ac:dyDescent="0.3">
      <c r="A35" s="2" t="s">
        <v>21</v>
      </c>
      <c r="B35" s="3">
        <f>(0+0+(0+0)+0+0+0)</f>
        <v>0</v>
      </c>
      <c r="C35" s="3">
        <f>(0+0+(0+0)+0+0+0)</f>
        <v>0</v>
      </c>
      <c r="D35" s="3">
        <f>(0+0+(0+0)+0+0+0)</f>
        <v>0</v>
      </c>
      <c r="E35" s="3">
        <f>((0+0+(0+0)+0+0+0)+(0+0+(0+0)+0+0+0)+(0+0+(0+0)+0+0+0))</f>
        <v>0</v>
      </c>
      <c r="F35" s="3">
        <f>(0+0+(0+0)+0+0+0)</f>
        <v>0</v>
      </c>
      <c r="G35" s="3">
        <f>(0+0+(0+0)+0+0+0)</f>
        <v>0</v>
      </c>
      <c r="H35" s="3">
        <f>((0+0+(0+0)+0+0+0)+(0+0+(0+0)+0+0+0))</f>
        <v>0</v>
      </c>
      <c r="I35" s="3">
        <f>(((0+0+(0+0)+0+0+0)+(0+0+(0+0)+0+0+0)+(0+0+(0+0)+0+0+0))-((0+0+(0+0)+0+0+0)+(0+0+(0+0)+0+0+0)))</f>
        <v>0</v>
      </c>
    </row>
    <row r="36" spans="1:9" ht="14" x14ac:dyDescent="0.3">
      <c r="A36" s="2" t="s">
        <v>22</v>
      </c>
      <c r="B36" s="3">
        <f>(6323120+26314378+(5267494+10510012)+2124684+2211768+3894066)</f>
        <v>56645522</v>
      </c>
      <c r="C36" s="3">
        <f>(0+85841+(0+0)+0+82100+0)</f>
        <v>167941</v>
      </c>
      <c r="D36" s="3">
        <f>(0+0+(0+0)+0+0+0)</f>
        <v>0</v>
      </c>
      <c r="E36" s="3">
        <f>((6323120+26314378+(5267494+10510012)+2124684+2211768+3894066)+(0+85841+(0+0)+0+82100+0)+(0+0+(0+0)+0+0+0))</f>
        <v>56813463</v>
      </c>
      <c r="F36" s="3">
        <f>(2326+1604743+(0+0)+18000+69525+0)</f>
        <v>1694594</v>
      </c>
      <c r="G36" s="3">
        <f>(5881022+23580829+(251452+345396)+1953529+1940029+2017108)</f>
        <v>35969365</v>
      </c>
      <c r="H36" s="3">
        <f>((2326+1604743+(0+0)+18000+69525+0)+(5881022+23580829+(251452+345396)+1953529+1940029+2017108))</f>
        <v>37663959</v>
      </c>
      <c r="I36" s="3">
        <f>(((6323120+26314378+(5267494+10510012)+2124684+2211768+3894066)+(0+85841+(0+0)+0+82100+0)+(0+0+(0+0)+0+0+0))-((2326+1604743+(0+0)+18000+69525+0)+(5881022+23580829+(251452+345396)+1953529+1940029+2017108)))</f>
        <v>19149504</v>
      </c>
    </row>
    <row r="37" spans="1:9" ht="14" x14ac:dyDescent="0.3">
      <c r="A37" s="2" t="s">
        <v>23</v>
      </c>
      <c r="B37" s="3">
        <f>(956419+6953573+(276877+3390)+646219+508383+397363)</f>
        <v>9742224</v>
      </c>
      <c r="C37" s="3">
        <f>(9607+2473627+(0+0)+0+158221+0)</f>
        <v>2641455</v>
      </c>
      <c r="D37" s="3">
        <f>(0+0+(0+0)+0+0+0)</f>
        <v>0</v>
      </c>
      <c r="E37" s="3">
        <f>((956419+6953573+(276877+3390)+646219+508383+397363)+(9607+2473627+(0+0)+0+158221+0)+(0+0+(0+0)+0+0+0))</f>
        <v>12383679</v>
      </c>
      <c r="F37" s="3">
        <f>(0+0+(0+0)+0+0+0)</f>
        <v>0</v>
      </c>
      <c r="G37" s="3">
        <f>(911865+9322948+(157646+2989)+567359+506095+372266)</f>
        <v>11841168</v>
      </c>
      <c r="H37" s="3">
        <f>((0+0+(0+0)+0+0+0)+(911865+9322948+(157646+2989)+567359+506095+372266))</f>
        <v>11841168</v>
      </c>
      <c r="I37" s="3">
        <f>(((956419+6953573+(276877+3390)+646219+508383+397363)+(9607+2473627+(0+0)+0+158221+0)+(0+0+(0+0)+0+0+0))-((0+0+(0+0)+0+0+0)+(911865+9322948+(157646+2989)+567359+506095+372266)))</f>
        <v>542511</v>
      </c>
    </row>
    <row r="38" spans="1:9" ht="14" x14ac:dyDescent="0.3">
      <c r="A38" s="2" t="s">
        <v>24</v>
      </c>
      <c r="B38" s="3">
        <f>(415651+7593076+(2906584+2663620)+1019399+1461276+246424)</f>
        <v>16306030</v>
      </c>
      <c r="C38" s="3">
        <f>(0+30774+(0+0)+0+0+0)</f>
        <v>30774</v>
      </c>
      <c r="D38" s="3">
        <f>(0+0+(0+0)+0+0+0)</f>
        <v>0</v>
      </c>
      <c r="E38" s="3">
        <f>((415651+7593076+(2906584+2663620)+1019399+1461276+246424)+(0+30774+(0+0)+0+0+0)+(0+0+(0+0)+0+0+0))</f>
        <v>16336804</v>
      </c>
      <c r="F38" s="3">
        <f>(0+53778+(0+0)+0+5525+0)</f>
        <v>59303</v>
      </c>
      <c r="G38" s="3">
        <f>(391218+7457197+(1127759+1031870)+842578+1371314+213146)</f>
        <v>12435082</v>
      </c>
      <c r="H38" s="3">
        <f>((0+53778+(0+0)+0+5525+0)+(391218+7457197+(1127759+1031870)+842578+1371314+213146))</f>
        <v>12494385</v>
      </c>
      <c r="I38" s="3">
        <f>(((415651+7593076+(2906584+2663620)+1019399+1461276+246424)+(0+30774+(0+0)+0+0+0)+(0+0+(0+0)+0+0+0))-((0+53778+(0+0)+0+5525+0)+(391218+7457197+(1127759+1031870)+842578+1371314+213146)))</f>
        <v>3842419</v>
      </c>
    </row>
    <row r="39" spans="1:9" ht="14" x14ac:dyDescent="0.3">
      <c r="A39" s="2" t="s">
        <v>25</v>
      </c>
      <c r="B39" s="3">
        <f>(613374+3017175+(1973440+2517947)+116322+466141+226133)</f>
        <v>8930532</v>
      </c>
      <c r="C39" s="3">
        <f>(0+1042528+(0+0)+0+141215+0)</f>
        <v>1183743</v>
      </c>
      <c r="D39" s="3">
        <f>(0+0+(0+0)+0+0+0)</f>
        <v>0</v>
      </c>
      <c r="E39" s="3">
        <f>((613374+3017175+(1973440+2517947)+116322+466141+226133)+(0+1042528+(0+0)+0+141215+0)+(0+0+(0+0)+0+0+0))</f>
        <v>10114275</v>
      </c>
      <c r="F39" s="3">
        <f>(52886+617374+(0+0)+0+19958+33168)</f>
        <v>723386</v>
      </c>
      <c r="G39" s="3">
        <f>(348185+1135622+(176896+0)+9808+200256+78429)</f>
        <v>1949196</v>
      </c>
      <c r="H39" s="3">
        <f>((52886+617374+(0+0)+0+19958+33168)+(348185+1135622+(176896+0)+9808+200256+78429))</f>
        <v>2672582</v>
      </c>
      <c r="I39" s="3">
        <f>(((613374+3017175+(1973440+2517947)+116322+466141+226133)+(0+1042528+(0+0)+0+141215+0)+(0+0+(0+0)+0+0+0))-((52886+617374+(0+0)+0+19958+33168)+(348185+1135622+(176896+0)+9808+200256+78429)))</f>
        <v>7441693</v>
      </c>
    </row>
    <row r="40" spans="1:9" ht="14" x14ac:dyDescent="0.3">
      <c r="A40" s="2" t="s">
        <v>26</v>
      </c>
      <c r="B40" s="3">
        <f>(754620+1544466+(5439354+1630126)+651891+1060273+1162442)</f>
        <v>12243172</v>
      </c>
      <c r="C40" s="3">
        <f>(185271+126699+(0+0)+0+47743+15563)</f>
        <v>375276</v>
      </c>
      <c r="D40" s="3">
        <f>(0+0+(0+0)+0+0+0)</f>
        <v>0</v>
      </c>
      <c r="E40" s="3">
        <f>((754620+1544466+(5439354+1630126)+651891+1060273+1162442)+(185271+126699+(0+0)+0+47743+15563)+(0+0+(0+0)+0+0+0))</f>
        <v>12618448</v>
      </c>
      <c r="F40" s="3">
        <f>(10350+126974+(0+0)+0+0+0)</f>
        <v>137324</v>
      </c>
      <c r="G40" s="3">
        <f>(289786+674616+(52496+12986)+116387+581773+30804)</f>
        <v>1758848</v>
      </c>
      <c r="H40" s="3">
        <f>((10350+126974+(0+0)+0+0+0)+(289786+674616+(52496+12986)+116387+581773+30804))</f>
        <v>1896172</v>
      </c>
      <c r="I40" s="3">
        <f>(((754620+1544466+(5439354+1630126)+651891+1060273+1162442)+(185271+126699+(0+0)+0+47743+15563)+(0+0+(0+0)+0+0+0))-((10350+126974+(0+0)+0+0+0)+(289786+674616+(52496+12986)+116387+581773+30804)))</f>
        <v>10722276</v>
      </c>
    </row>
    <row r="41" spans="1:9" ht="14" x14ac:dyDescent="0.3">
      <c r="A41" s="5" t="s">
        <v>28</v>
      </c>
      <c r="B41" s="5"/>
      <c r="C41" s="5"/>
      <c r="D41" s="5"/>
      <c r="E41" s="5"/>
      <c r="F41" s="5"/>
      <c r="G41" s="5"/>
      <c r="H41" s="5"/>
      <c r="I41" s="5"/>
    </row>
    <row r="42" spans="1:9" ht="14" x14ac:dyDescent="0.3">
      <c r="A42" s="4" t="s">
        <v>1</v>
      </c>
      <c r="B42" s="1" t="s">
        <v>2</v>
      </c>
      <c r="C42" s="1" t="s">
        <v>3</v>
      </c>
      <c r="D42" s="1" t="s">
        <v>4</v>
      </c>
      <c r="E42" s="1" t="s">
        <v>5</v>
      </c>
      <c r="F42" s="1" t="s">
        <v>6</v>
      </c>
      <c r="G42" s="1" t="s">
        <v>7</v>
      </c>
      <c r="H42" s="1" t="s">
        <v>8</v>
      </c>
      <c r="I42" s="1" t="s">
        <v>9</v>
      </c>
    </row>
    <row r="43" spans="1:9" ht="14" x14ac:dyDescent="0.3">
      <c r="A43" s="4"/>
      <c r="B43" s="1">
        <v>2023</v>
      </c>
      <c r="C43" s="1">
        <v>2023</v>
      </c>
      <c r="D43" s="1">
        <v>2023</v>
      </c>
      <c r="E43" s="1">
        <v>2023</v>
      </c>
      <c r="F43" s="1">
        <v>2023</v>
      </c>
      <c r="G43" s="1">
        <v>2023</v>
      </c>
      <c r="H43" s="1">
        <v>2023</v>
      </c>
      <c r="I43" s="1">
        <v>2023</v>
      </c>
    </row>
    <row r="44" spans="1:9" ht="14" x14ac:dyDescent="0.3">
      <c r="A44" s="2" t="s">
        <v>10</v>
      </c>
      <c r="B44" s="3">
        <f>448887</f>
        <v>448887</v>
      </c>
      <c r="C44" s="3">
        <f>0</f>
        <v>0</v>
      </c>
      <c r="D44" s="3">
        <f>0</f>
        <v>0</v>
      </c>
      <c r="E44" s="3">
        <f>(448887+0+0)</f>
        <v>448887</v>
      </c>
      <c r="F44" s="3">
        <f>578</f>
        <v>578</v>
      </c>
      <c r="G44" s="3">
        <f>309025</f>
        <v>309025</v>
      </c>
      <c r="H44" s="3">
        <f>(578+309025)</f>
        <v>309603</v>
      </c>
      <c r="I44" s="3">
        <f>((448887+0+0)-(578+309025))</f>
        <v>139284</v>
      </c>
    </row>
    <row r="45" spans="1:9" ht="14" x14ac:dyDescent="0.3">
      <c r="A45" s="2" t="s">
        <v>11</v>
      </c>
      <c r="B45" s="3">
        <f>0</f>
        <v>0</v>
      </c>
      <c r="C45" s="3">
        <f>0</f>
        <v>0</v>
      </c>
      <c r="D45" s="3">
        <f>0</f>
        <v>0</v>
      </c>
      <c r="E45" s="3">
        <f>(0+0+0)</f>
        <v>0</v>
      </c>
      <c r="F45" s="3">
        <f>0</f>
        <v>0</v>
      </c>
      <c r="G45" s="3">
        <f>0</f>
        <v>0</v>
      </c>
      <c r="H45" s="3">
        <f>(0+0)</f>
        <v>0</v>
      </c>
      <c r="I45" s="3">
        <f>((0+0+0)-(0+0))</f>
        <v>0</v>
      </c>
    </row>
    <row r="46" spans="1:9" ht="14" x14ac:dyDescent="0.3">
      <c r="A46" s="2" t="s">
        <v>12</v>
      </c>
      <c r="B46" s="3">
        <f>2832249</f>
        <v>2832249</v>
      </c>
      <c r="C46" s="3">
        <f>8453</f>
        <v>8453</v>
      </c>
      <c r="D46" s="3">
        <f>0</f>
        <v>0</v>
      </c>
      <c r="E46" s="3">
        <f>(2832249+8453+0)</f>
        <v>2840702</v>
      </c>
      <c r="F46" s="3">
        <f>214896</f>
        <v>214896</v>
      </c>
      <c r="G46" s="3">
        <f>2563344</f>
        <v>2563344</v>
      </c>
      <c r="H46" s="3">
        <f>(214896+2563344)</f>
        <v>2778240</v>
      </c>
      <c r="I46" s="3">
        <f>((2832249+8453+0)-(214896+2563344))</f>
        <v>62462</v>
      </c>
    </row>
    <row r="47" spans="1:9" ht="14" x14ac:dyDescent="0.3">
      <c r="A47" s="2" t="s">
        <v>13</v>
      </c>
      <c r="B47" s="3">
        <f>340147</f>
        <v>340147</v>
      </c>
      <c r="C47" s="3">
        <f>98618</f>
        <v>98618</v>
      </c>
      <c r="D47" s="3">
        <f>0</f>
        <v>0</v>
      </c>
      <c r="E47" s="3">
        <f>(340147+98618+0)</f>
        <v>438765</v>
      </c>
      <c r="F47" s="3">
        <f>554</f>
        <v>554</v>
      </c>
      <c r="G47" s="3">
        <f>0</f>
        <v>0</v>
      </c>
      <c r="H47" s="3">
        <f>(554+0)</f>
        <v>554</v>
      </c>
      <c r="I47" s="3">
        <f>((340147+98618+0)-(554+0))</f>
        <v>438211</v>
      </c>
    </row>
    <row r="48" spans="1:9" ht="14" x14ac:dyDescent="0.3">
      <c r="A48" s="2" t="s">
        <v>14</v>
      </c>
      <c r="B48" s="3">
        <f>9014</f>
        <v>9014</v>
      </c>
      <c r="C48" s="3">
        <f>0</f>
        <v>0</v>
      </c>
      <c r="D48" s="3">
        <f>0</f>
        <v>0</v>
      </c>
      <c r="E48" s="3">
        <f>(9014+0+0)</f>
        <v>9014</v>
      </c>
      <c r="F48" s="3">
        <f>3183</f>
        <v>3183</v>
      </c>
      <c r="G48" s="3">
        <f>5183</f>
        <v>5183</v>
      </c>
      <c r="H48" s="3">
        <f>(3183+5183)</f>
        <v>8366</v>
      </c>
      <c r="I48" s="3">
        <f>((9014+0+0)-(3183+5183))</f>
        <v>648</v>
      </c>
    </row>
    <row r="49" spans="1:9" ht="14" x14ac:dyDescent="0.3">
      <c r="A49" s="2" t="s">
        <v>15</v>
      </c>
      <c r="B49" s="3">
        <f>4114944</f>
        <v>4114944</v>
      </c>
      <c r="C49" s="3">
        <f>4482</f>
        <v>4482</v>
      </c>
      <c r="D49" s="3">
        <f>15366</f>
        <v>15366</v>
      </c>
      <c r="E49" s="3">
        <f>(4114944+4482+15366)</f>
        <v>4134792</v>
      </c>
      <c r="F49" s="3">
        <f>147</f>
        <v>147</v>
      </c>
      <c r="G49" s="3">
        <f>3982386</f>
        <v>3982386</v>
      </c>
      <c r="H49" s="3">
        <f>(147+3982386)</f>
        <v>3982533</v>
      </c>
      <c r="I49" s="3">
        <f>((4114944+4482+15366)-(147+3982386))</f>
        <v>152259</v>
      </c>
    </row>
    <row r="50" spans="1:9" ht="14" x14ac:dyDescent="0.3">
      <c r="A50" s="2" t="s">
        <v>16</v>
      </c>
      <c r="B50" s="3">
        <f>1089</f>
        <v>1089</v>
      </c>
      <c r="C50" s="3">
        <f>0</f>
        <v>0</v>
      </c>
      <c r="D50" s="3">
        <f>0</f>
        <v>0</v>
      </c>
      <c r="E50" s="3">
        <f>(1089+0+0)</f>
        <v>1089</v>
      </c>
      <c r="F50" s="3">
        <f>2930</f>
        <v>2930</v>
      </c>
      <c r="G50" s="3">
        <f>25286</f>
        <v>25286</v>
      </c>
      <c r="H50" s="3">
        <f>(2930+25286)</f>
        <v>28216</v>
      </c>
      <c r="I50" s="3">
        <f>((1089+0+0)-(2930+25286))</f>
        <v>-27127</v>
      </c>
    </row>
    <row r="51" spans="1:9" ht="14" x14ac:dyDescent="0.3">
      <c r="A51" s="2" t="s">
        <v>17</v>
      </c>
      <c r="B51" s="3">
        <f>49680</f>
        <v>49680</v>
      </c>
      <c r="C51" s="3">
        <f>(-1468)</f>
        <v>-1468</v>
      </c>
      <c r="D51" s="3">
        <f>0</f>
        <v>0</v>
      </c>
      <c r="E51" s="3">
        <f>(49680+(-1468)+0)</f>
        <v>48212</v>
      </c>
      <c r="F51" s="3">
        <f>0</f>
        <v>0</v>
      </c>
      <c r="G51" s="3">
        <f>7381</f>
        <v>7381</v>
      </c>
      <c r="H51" s="3">
        <f>(0+7381)</f>
        <v>7381</v>
      </c>
      <c r="I51" s="3">
        <f>((49680+(-1468)+0)-(0+7381))</f>
        <v>40831</v>
      </c>
    </row>
    <row r="52" spans="1:9" ht="14" x14ac:dyDescent="0.3">
      <c r="A52" s="2" t="s">
        <v>18</v>
      </c>
      <c r="B52" s="3">
        <f>15815</f>
        <v>15815</v>
      </c>
      <c r="C52" s="3">
        <f>0</f>
        <v>0</v>
      </c>
      <c r="D52" s="3">
        <f>0</f>
        <v>0</v>
      </c>
      <c r="E52" s="3">
        <f>(15815+0+0)</f>
        <v>15815</v>
      </c>
      <c r="F52" s="3">
        <f>0</f>
        <v>0</v>
      </c>
      <c r="G52" s="3">
        <f>13441</f>
        <v>13441</v>
      </c>
      <c r="H52" s="3">
        <f>(0+13441)</f>
        <v>13441</v>
      </c>
      <c r="I52" s="3">
        <f>((15815+0+0)-(0+13441))</f>
        <v>2374</v>
      </c>
    </row>
    <row r="53" spans="1:9" ht="14" x14ac:dyDescent="0.3">
      <c r="A53" s="2" t="s">
        <v>19</v>
      </c>
      <c r="B53" s="3">
        <f>735002</f>
        <v>735002</v>
      </c>
      <c r="C53" s="3">
        <f>2316</f>
        <v>2316</v>
      </c>
      <c r="D53" s="3">
        <f>0</f>
        <v>0</v>
      </c>
      <c r="E53" s="3">
        <f>(735002+2316+0)</f>
        <v>737318</v>
      </c>
      <c r="F53" s="3">
        <f>2292</f>
        <v>2292</v>
      </c>
      <c r="G53" s="3">
        <f>629514</f>
        <v>629514</v>
      </c>
      <c r="H53" s="3">
        <f>(2292+629514)</f>
        <v>631806</v>
      </c>
      <c r="I53" s="3">
        <f>((735002+2316+0)-(2292+629514))</f>
        <v>105512</v>
      </c>
    </row>
    <row r="54" spans="1:9" ht="14" x14ac:dyDescent="0.3">
      <c r="A54" s="2" t="s">
        <v>20</v>
      </c>
      <c r="B54" s="3">
        <f>265542</f>
        <v>265542</v>
      </c>
      <c r="C54" s="3">
        <f>5955</f>
        <v>5955</v>
      </c>
      <c r="D54" s="3">
        <f>46145</f>
        <v>46145</v>
      </c>
      <c r="E54" s="3">
        <f>(265542+5955+46145)</f>
        <v>317642</v>
      </c>
      <c r="F54" s="3">
        <f>(-3176)</f>
        <v>-3176</v>
      </c>
      <c r="G54" s="3">
        <f>201125</f>
        <v>201125</v>
      </c>
      <c r="H54" s="3">
        <f>((-3176)+201125)</f>
        <v>197949</v>
      </c>
      <c r="I54" s="3">
        <f>((265542+5955+46145)-((-3176)+201125))</f>
        <v>119693</v>
      </c>
    </row>
    <row r="55" spans="1:9" ht="14" x14ac:dyDescent="0.3">
      <c r="A55" s="2" t="s">
        <v>21</v>
      </c>
      <c r="B55" s="3">
        <f>0</f>
        <v>0</v>
      </c>
      <c r="C55" s="3">
        <f>0</f>
        <v>0</v>
      </c>
      <c r="D55" s="3">
        <f>0</f>
        <v>0</v>
      </c>
      <c r="E55" s="3">
        <f>(0+0+0)</f>
        <v>0</v>
      </c>
      <c r="F55" s="3">
        <f>0</f>
        <v>0</v>
      </c>
      <c r="G55" s="3">
        <f>0</f>
        <v>0</v>
      </c>
      <c r="H55" s="3">
        <f>(0+0)</f>
        <v>0</v>
      </c>
      <c r="I55" s="3">
        <f>((0+0+0)-(0+0))</f>
        <v>0</v>
      </c>
    </row>
    <row r="56" spans="1:9" ht="14" x14ac:dyDescent="0.3">
      <c r="A56" s="2" t="s">
        <v>22</v>
      </c>
      <c r="B56" s="3">
        <f>6323120</f>
        <v>6323120</v>
      </c>
      <c r="C56" s="3">
        <f>0</f>
        <v>0</v>
      </c>
      <c r="D56" s="3">
        <f>0</f>
        <v>0</v>
      </c>
      <c r="E56" s="3">
        <f>(6323120+0+0)</f>
        <v>6323120</v>
      </c>
      <c r="F56" s="3">
        <f>2326</f>
        <v>2326</v>
      </c>
      <c r="G56" s="3">
        <f>5881022</f>
        <v>5881022</v>
      </c>
      <c r="H56" s="3">
        <f>(2326+5881022)</f>
        <v>5883348</v>
      </c>
      <c r="I56" s="3">
        <f>((6323120+0+0)-(2326+5881022))</f>
        <v>439772</v>
      </c>
    </row>
    <row r="57" spans="1:9" ht="14" x14ac:dyDescent="0.3">
      <c r="A57" s="2" t="s">
        <v>23</v>
      </c>
      <c r="B57" s="3">
        <f>956419</f>
        <v>956419</v>
      </c>
      <c r="C57" s="3">
        <f>9607</f>
        <v>9607</v>
      </c>
      <c r="D57" s="3">
        <f>0</f>
        <v>0</v>
      </c>
      <c r="E57" s="3">
        <f>(956419+9607+0)</f>
        <v>966026</v>
      </c>
      <c r="F57" s="3">
        <f>0</f>
        <v>0</v>
      </c>
      <c r="G57" s="3">
        <f>911865</f>
        <v>911865</v>
      </c>
      <c r="H57" s="3">
        <f>(0+911865)</f>
        <v>911865</v>
      </c>
      <c r="I57" s="3">
        <f>((956419+9607+0)-(0+911865))</f>
        <v>54161</v>
      </c>
    </row>
    <row r="58" spans="1:9" ht="14" x14ac:dyDescent="0.3">
      <c r="A58" s="2" t="s">
        <v>24</v>
      </c>
      <c r="B58" s="3">
        <f>415651</f>
        <v>415651</v>
      </c>
      <c r="C58" s="3">
        <f>0</f>
        <v>0</v>
      </c>
      <c r="D58" s="3">
        <f>0</f>
        <v>0</v>
      </c>
      <c r="E58" s="3">
        <f>(415651+0+0)</f>
        <v>415651</v>
      </c>
      <c r="F58" s="3">
        <f>0</f>
        <v>0</v>
      </c>
      <c r="G58" s="3">
        <f>391218</f>
        <v>391218</v>
      </c>
      <c r="H58" s="3">
        <f>(0+391218)</f>
        <v>391218</v>
      </c>
      <c r="I58" s="3">
        <f>((415651+0+0)-(0+391218))</f>
        <v>24433</v>
      </c>
    </row>
    <row r="59" spans="1:9" ht="14" x14ac:dyDescent="0.3">
      <c r="A59" s="2" t="s">
        <v>25</v>
      </c>
      <c r="B59" s="3">
        <f>613374</f>
        <v>613374</v>
      </c>
      <c r="C59" s="3">
        <f>0</f>
        <v>0</v>
      </c>
      <c r="D59" s="3">
        <f>0</f>
        <v>0</v>
      </c>
      <c r="E59" s="3">
        <f>(613374+0+0)</f>
        <v>613374</v>
      </c>
      <c r="F59" s="3">
        <f>52886</f>
        <v>52886</v>
      </c>
      <c r="G59" s="3">
        <f>348185</f>
        <v>348185</v>
      </c>
      <c r="H59" s="3">
        <f>(52886+348185)</f>
        <v>401071</v>
      </c>
      <c r="I59" s="3">
        <f>((613374+0+0)-(52886+348185))</f>
        <v>212303</v>
      </c>
    </row>
    <row r="60" spans="1:9" ht="14" x14ac:dyDescent="0.3">
      <c r="A60" s="2" t="s">
        <v>26</v>
      </c>
      <c r="B60" s="3">
        <f>754620</f>
        <v>754620</v>
      </c>
      <c r="C60" s="3">
        <f>185271</f>
        <v>185271</v>
      </c>
      <c r="D60" s="3">
        <f>0</f>
        <v>0</v>
      </c>
      <c r="E60" s="3">
        <f>(754620+185271+0)</f>
        <v>939891</v>
      </c>
      <c r="F60" s="3">
        <f>10350</f>
        <v>10350</v>
      </c>
      <c r="G60" s="3">
        <f>289786</f>
        <v>289786</v>
      </c>
      <c r="H60" s="3">
        <f>(10350+289786)</f>
        <v>300136</v>
      </c>
      <c r="I60" s="3">
        <f>((754620+185271+0)-(10350+289786))</f>
        <v>639755</v>
      </c>
    </row>
    <row r="61" spans="1:9" ht="14" x14ac:dyDescent="0.3">
      <c r="A61" s="5" t="s">
        <v>29</v>
      </c>
      <c r="B61" s="5"/>
      <c r="C61" s="5"/>
      <c r="D61" s="5"/>
      <c r="E61" s="5"/>
      <c r="F61" s="5"/>
      <c r="G61" s="5"/>
      <c r="H61" s="5"/>
      <c r="I61" s="5"/>
    </row>
    <row r="62" spans="1:9" ht="14" x14ac:dyDescent="0.3">
      <c r="A62" s="4" t="s">
        <v>1</v>
      </c>
      <c r="B62" s="1" t="s">
        <v>2</v>
      </c>
      <c r="C62" s="1" t="s">
        <v>3</v>
      </c>
      <c r="D62" s="1" t="s">
        <v>4</v>
      </c>
      <c r="E62" s="1" t="s">
        <v>5</v>
      </c>
      <c r="F62" s="1" t="s">
        <v>6</v>
      </c>
      <c r="G62" s="1" t="s">
        <v>7</v>
      </c>
      <c r="H62" s="1" t="s">
        <v>8</v>
      </c>
      <c r="I62" s="1" t="s">
        <v>9</v>
      </c>
    </row>
    <row r="63" spans="1:9" ht="14" x14ac:dyDescent="0.3">
      <c r="A63" s="4"/>
      <c r="B63" s="1">
        <v>2023</v>
      </c>
      <c r="C63" s="1">
        <v>2023</v>
      </c>
      <c r="D63" s="1">
        <v>2023</v>
      </c>
      <c r="E63" s="1">
        <v>2023</v>
      </c>
      <c r="F63" s="1">
        <v>2023</v>
      </c>
      <c r="G63" s="1">
        <v>2023</v>
      </c>
      <c r="H63" s="1">
        <v>2023</v>
      </c>
      <c r="I63" s="1">
        <v>2023</v>
      </c>
    </row>
    <row r="64" spans="1:9" ht="14" x14ac:dyDescent="0.3">
      <c r="A64" s="2" t="s">
        <v>10</v>
      </c>
      <c r="B64" s="3">
        <f>10112393</f>
        <v>10112393</v>
      </c>
      <c r="C64" s="3">
        <f>0</f>
        <v>0</v>
      </c>
      <c r="D64" s="3">
        <f>0</f>
        <v>0</v>
      </c>
      <c r="E64" s="3">
        <f>(10112393+0+0)</f>
        <v>10112393</v>
      </c>
      <c r="F64" s="3">
        <f>837770</f>
        <v>837770</v>
      </c>
      <c r="G64" s="3">
        <f>7810598</f>
        <v>7810598</v>
      </c>
      <c r="H64" s="3">
        <f>(837770+7810598)</f>
        <v>8648368</v>
      </c>
      <c r="I64" s="3">
        <f>((10112393+0+0)-(837770+7810598))</f>
        <v>1464025</v>
      </c>
    </row>
    <row r="65" spans="1:9" ht="14" x14ac:dyDescent="0.3">
      <c r="A65" s="2" t="s">
        <v>11</v>
      </c>
      <c r="B65" s="3">
        <f>0</f>
        <v>0</v>
      </c>
      <c r="C65" s="3">
        <f>0</f>
        <v>0</v>
      </c>
      <c r="D65" s="3">
        <f>0</f>
        <v>0</v>
      </c>
      <c r="E65" s="3">
        <f>(0+0+0)</f>
        <v>0</v>
      </c>
      <c r="F65" s="3">
        <f>0</f>
        <v>0</v>
      </c>
      <c r="G65" s="3">
        <f>0</f>
        <v>0</v>
      </c>
      <c r="H65" s="3">
        <f>(0+0)</f>
        <v>0</v>
      </c>
      <c r="I65" s="3">
        <f>((0+0+0)-(0+0))</f>
        <v>0</v>
      </c>
    </row>
    <row r="66" spans="1:9" ht="14" x14ac:dyDescent="0.3">
      <c r="A66" s="2" t="s">
        <v>12</v>
      </c>
      <c r="B66" s="3">
        <f>5767715</f>
        <v>5767715</v>
      </c>
      <c r="C66" s="3">
        <f>135680</f>
        <v>135680</v>
      </c>
      <c r="D66" s="3">
        <f>0</f>
        <v>0</v>
      </c>
      <c r="E66" s="3">
        <f>(5767715+135680+0)</f>
        <v>5903395</v>
      </c>
      <c r="F66" s="3">
        <f>1294306</f>
        <v>1294306</v>
      </c>
      <c r="G66" s="3">
        <f>4447857</f>
        <v>4447857</v>
      </c>
      <c r="H66" s="3">
        <f>(1294306+4447857)</f>
        <v>5742163</v>
      </c>
      <c r="I66" s="3">
        <f>((5767715+135680+0)-(1294306+4447857))</f>
        <v>161232</v>
      </c>
    </row>
    <row r="67" spans="1:9" ht="14" x14ac:dyDescent="0.3">
      <c r="A67" s="2" t="s">
        <v>13</v>
      </c>
      <c r="B67" s="3">
        <f>3292762</f>
        <v>3292762</v>
      </c>
      <c r="C67" s="3">
        <f>694102</f>
        <v>694102</v>
      </c>
      <c r="D67" s="3">
        <f>0</f>
        <v>0</v>
      </c>
      <c r="E67" s="3">
        <f>(3292762+694102+0)</f>
        <v>3986864</v>
      </c>
      <c r="F67" s="3">
        <f>475722</f>
        <v>475722</v>
      </c>
      <c r="G67" s="3">
        <f>1654214</f>
        <v>1654214</v>
      </c>
      <c r="H67" s="3">
        <f>(475722+1654214)</f>
        <v>2129936</v>
      </c>
      <c r="I67" s="3">
        <f>((3292762+694102+0)-(475722+1654214))</f>
        <v>1856928</v>
      </c>
    </row>
    <row r="68" spans="1:9" ht="14" x14ac:dyDescent="0.3">
      <c r="A68" s="2" t="s">
        <v>14</v>
      </c>
      <c r="B68" s="3">
        <f>280686</f>
        <v>280686</v>
      </c>
      <c r="C68" s="3">
        <f>0</f>
        <v>0</v>
      </c>
      <c r="D68" s="3">
        <f>0</f>
        <v>0</v>
      </c>
      <c r="E68" s="3">
        <f>(280686+0+0)</f>
        <v>280686</v>
      </c>
      <c r="F68" s="3">
        <f>76670</f>
        <v>76670</v>
      </c>
      <c r="G68" s="3">
        <f>133944</f>
        <v>133944</v>
      </c>
      <c r="H68" s="3">
        <f>(76670+133944)</f>
        <v>210614</v>
      </c>
      <c r="I68" s="3">
        <f>((280686+0+0)-(76670+133944))</f>
        <v>70072</v>
      </c>
    </row>
    <row r="69" spans="1:9" ht="14" x14ac:dyDescent="0.3">
      <c r="A69" s="2" t="s">
        <v>15</v>
      </c>
      <c r="B69" s="3">
        <f>14474949</f>
        <v>14474949</v>
      </c>
      <c r="C69" s="3">
        <f>245791</f>
        <v>245791</v>
      </c>
      <c r="D69" s="3">
        <f>10653</f>
        <v>10653</v>
      </c>
      <c r="E69" s="3">
        <f>(14474949+245791+10653)</f>
        <v>14731393</v>
      </c>
      <c r="F69" s="3">
        <f>622091</f>
        <v>622091</v>
      </c>
      <c r="G69" s="3">
        <f>13335096</f>
        <v>13335096</v>
      </c>
      <c r="H69" s="3">
        <f>(622091+13335096)</f>
        <v>13957187</v>
      </c>
      <c r="I69" s="3">
        <f>((14474949+245791+10653)-(622091+13335096))</f>
        <v>774206</v>
      </c>
    </row>
    <row r="70" spans="1:9" ht="14" x14ac:dyDescent="0.3">
      <c r="A70" s="2" t="s">
        <v>16</v>
      </c>
      <c r="B70" s="3">
        <f>1776254</f>
        <v>1776254</v>
      </c>
      <c r="C70" s="3">
        <f>0</f>
        <v>0</v>
      </c>
      <c r="D70" s="3">
        <f>0</f>
        <v>0</v>
      </c>
      <c r="E70" s="3">
        <f>(1776254+0+0)</f>
        <v>1776254</v>
      </c>
      <c r="F70" s="3">
        <f>154778</f>
        <v>154778</v>
      </c>
      <c r="G70" s="3">
        <f>1430117</f>
        <v>1430117</v>
      </c>
      <c r="H70" s="3">
        <f>(154778+1430117)</f>
        <v>1584895</v>
      </c>
      <c r="I70" s="3">
        <f>((1776254+0+0)-(154778+1430117))</f>
        <v>191359</v>
      </c>
    </row>
    <row r="71" spans="1:9" ht="14" x14ac:dyDescent="0.3">
      <c r="A71" s="2" t="s">
        <v>17</v>
      </c>
      <c r="B71" s="3">
        <f>121789</f>
        <v>121789</v>
      </c>
      <c r="C71" s="3">
        <f>288444</f>
        <v>288444</v>
      </c>
      <c r="D71" s="3">
        <f>0</f>
        <v>0</v>
      </c>
      <c r="E71" s="3">
        <f>(121789+288444+0)</f>
        <v>410233</v>
      </c>
      <c r="F71" s="3">
        <f>0</f>
        <v>0</v>
      </c>
      <c r="G71" s="3">
        <f>33691</f>
        <v>33691</v>
      </c>
      <c r="H71" s="3">
        <f>(0+33691)</f>
        <v>33691</v>
      </c>
      <c r="I71" s="3">
        <f>((121789+288444+0)-(0+33691))</f>
        <v>376542</v>
      </c>
    </row>
    <row r="72" spans="1:9" ht="14" x14ac:dyDescent="0.3">
      <c r="A72" s="2" t="s">
        <v>18</v>
      </c>
      <c r="B72" s="3">
        <f>375228</f>
        <v>375228</v>
      </c>
      <c r="C72" s="3">
        <f>98957</f>
        <v>98957</v>
      </c>
      <c r="D72" s="3">
        <f>0</f>
        <v>0</v>
      </c>
      <c r="E72" s="3">
        <f>(375228+98957+0)</f>
        <v>474185</v>
      </c>
      <c r="F72" s="3">
        <f>60781</f>
        <v>60781</v>
      </c>
      <c r="G72" s="3">
        <f>357402</f>
        <v>357402</v>
      </c>
      <c r="H72" s="3">
        <f>(60781+357402)</f>
        <v>418183</v>
      </c>
      <c r="I72" s="3">
        <f>((375228+98957+0)-(60781+357402))</f>
        <v>56002</v>
      </c>
    </row>
    <row r="73" spans="1:9" ht="14" x14ac:dyDescent="0.3">
      <c r="A73" s="2" t="s">
        <v>19</v>
      </c>
      <c r="B73" s="3">
        <f>4211483</f>
        <v>4211483</v>
      </c>
      <c r="C73" s="3">
        <f>717653</f>
        <v>717653</v>
      </c>
      <c r="D73" s="3">
        <f>0</f>
        <v>0</v>
      </c>
      <c r="E73" s="3">
        <f>(4211483+717653+0)</f>
        <v>4929136</v>
      </c>
      <c r="F73" s="3">
        <f>105836</f>
        <v>105836</v>
      </c>
      <c r="G73" s="3">
        <f>4538383</f>
        <v>4538383</v>
      </c>
      <c r="H73" s="3">
        <f>(105836+4538383)</f>
        <v>4644219</v>
      </c>
      <c r="I73" s="3">
        <f>((4211483+717653+0)-(105836+4538383))</f>
        <v>284917</v>
      </c>
    </row>
    <row r="74" spans="1:9" ht="14" x14ac:dyDescent="0.3">
      <c r="A74" s="2" t="s">
        <v>20</v>
      </c>
      <c r="B74" s="3">
        <f>4130732</f>
        <v>4130732</v>
      </c>
      <c r="C74" s="3">
        <f>369168</f>
        <v>369168</v>
      </c>
      <c r="D74" s="3">
        <f>0</f>
        <v>0</v>
      </c>
      <c r="E74" s="3">
        <f>(4130732+369168+0)</f>
        <v>4499900</v>
      </c>
      <c r="F74" s="3">
        <f>1923985</f>
        <v>1923985</v>
      </c>
      <c r="G74" s="3">
        <f>2628574</f>
        <v>2628574</v>
      </c>
      <c r="H74" s="3">
        <f>(1923985+2628574)</f>
        <v>4552559</v>
      </c>
      <c r="I74" s="3">
        <f>((4130732+369168+0)-(1923985+2628574))</f>
        <v>-52659</v>
      </c>
    </row>
    <row r="75" spans="1:9" ht="14" x14ac:dyDescent="0.3">
      <c r="A75" s="2" t="s">
        <v>21</v>
      </c>
      <c r="B75" s="3">
        <f>0</f>
        <v>0</v>
      </c>
      <c r="C75" s="3">
        <f>0</f>
        <v>0</v>
      </c>
      <c r="D75" s="3">
        <f>0</f>
        <v>0</v>
      </c>
      <c r="E75" s="3">
        <f>(0+0+0)</f>
        <v>0</v>
      </c>
      <c r="F75" s="3">
        <f>0</f>
        <v>0</v>
      </c>
      <c r="G75" s="3">
        <f>0</f>
        <v>0</v>
      </c>
      <c r="H75" s="3">
        <f>(0+0)</f>
        <v>0</v>
      </c>
      <c r="I75" s="3">
        <f>((0+0+0)-(0+0))</f>
        <v>0</v>
      </c>
    </row>
    <row r="76" spans="1:9" ht="14" x14ac:dyDescent="0.3">
      <c r="A76" s="2" t="s">
        <v>22</v>
      </c>
      <c r="B76" s="3">
        <f>26314378</f>
        <v>26314378</v>
      </c>
      <c r="C76" s="3">
        <f>85841</f>
        <v>85841</v>
      </c>
      <c r="D76" s="3">
        <f>0</f>
        <v>0</v>
      </c>
      <c r="E76" s="3">
        <f>(26314378+85841+0)</f>
        <v>26400219</v>
      </c>
      <c r="F76" s="3">
        <f>1604743</f>
        <v>1604743</v>
      </c>
      <c r="G76" s="3">
        <f>23580829</f>
        <v>23580829</v>
      </c>
      <c r="H76" s="3">
        <f>(1604743+23580829)</f>
        <v>25185572</v>
      </c>
      <c r="I76" s="3">
        <f>((26314378+85841+0)-(1604743+23580829))</f>
        <v>1214647</v>
      </c>
    </row>
    <row r="77" spans="1:9" ht="14" x14ac:dyDescent="0.3">
      <c r="A77" s="2" t="s">
        <v>23</v>
      </c>
      <c r="B77" s="3">
        <f>6953573</f>
        <v>6953573</v>
      </c>
      <c r="C77" s="3">
        <f>2473627</f>
        <v>2473627</v>
      </c>
      <c r="D77" s="3">
        <f>0</f>
        <v>0</v>
      </c>
      <c r="E77" s="3">
        <f>(6953573+2473627+0)</f>
        <v>9427200</v>
      </c>
      <c r="F77" s="3">
        <f>0</f>
        <v>0</v>
      </c>
      <c r="G77" s="3">
        <f>9322948</f>
        <v>9322948</v>
      </c>
      <c r="H77" s="3">
        <f>(0+9322948)</f>
        <v>9322948</v>
      </c>
      <c r="I77" s="3">
        <f>((6953573+2473627+0)-(0+9322948))</f>
        <v>104252</v>
      </c>
    </row>
    <row r="78" spans="1:9" ht="14" x14ac:dyDescent="0.3">
      <c r="A78" s="2" t="s">
        <v>24</v>
      </c>
      <c r="B78" s="3">
        <f>7593076</f>
        <v>7593076</v>
      </c>
      <c r="C78" s="3">
        <f>30774</f>
        <v>30774</v>
      </c>
      <c r="D78" s="3">
        <f>0</f>
        <v>0</v>
      </c>
      <c r="E78" s="3">
        <f>(7593076+30774+0)</f>
        <v>7623850</v>
      </c>
      <c r="F78" s="3">
        <f>53778</f>
        <v>53778</v>
      </c>
      <c r="G78" s="3">
        <f>7457197</f>
        <v>7457197</v>
      </c>
      <c r="H78" s="3">
        <f>(53778+7457197)</f>
        <v>7510975</v>
      </c>
      <c r="I78" s="3">
        <f>((7593076+30774+0)-(53778+7457197))</f>
        <v>112875</v>
      </c>
    </row>
    <row r="79" spans="1:9" ht="14" x14ac:dyDescent="0.3">
      <c r="A79" s="2" t="s">
        <v>25</v>
      </c>
      <c r="B79" s="3">
        <f>3017175</f>
        <v>3017175</v>
      </c>
      <c r="C79" s="3">
        <f>1042528</f>
        <v>1042528</v>
      </c>
      <c r="D79" s="3">
        <f>0</f>
        <v>0</v>
      </c>
      <c r="E79" s="3">
        <f>(3017175+1042528+0)</f>
        <v>4059703</v>
      </c>
      <c r="F79" s="3">
        <f>617374</f>
        <v>617374</v>
      </c>
      <c r="G79" s="3">
        <f>1135622</f>
        <v>1135622</v>
      </c>
      <c r="H79" s="3">
        <f>(617374+1135622)</f>
        <v>1752996</v>
      </c>
      <c r="I79" s="3">
        <f>((3017175+1042528+0)-(617374+1135622))</f>
        <v>2306707</v>
      </c>
    </row>
    <row r="80" spans="1:9" ht="14" x14ac:dyDescent="0.3">
      <c r="A80" s="2" t="s">
        <v>26</v>
      </c>
      <c r="B80" s="3">
        <f>1544466</f>
        <v>1544466</v>
      </c>
      <c r="C80" s="3">
        <f>126699</f>
        <v>126699</v>
      </c>
      <c r="D80" s="3">
        <f>0</f>
        <v>0</v>
      </c>
      <c r="E80" s="3">
        <f>(1544466+126699+0)</f>
        <v>1671165</v>
      </c>
      <c r="F80" s="3">
        <f>126974</f>
        <v>126974</v>
      </c>
      <c r="G80" s="3">
        <f>674616</f>
        <v>674616</v>
      </c>
      <c r="H80" s="3">
        <f>(126974+674616)</f>
        <v>801590</v>
      </c>
      <c r="I80" s="3">
        <f>((1544466+126699+0)-(126974+674616))</f>
        <v>869575</v>
      </c>
    </row>
    <row r="81" spans="1:9" ht="14" x14ac:dyDescent="0.3">
      <c r="A81" s="5" t="s">
        <v>30</v>
      </c>
      <c r="B81" s="5"/>
      <c r="C81" s="5"/>
      <c r="D81" s="5"/>
      <c r="E81" s="5"/>
      <c r="F81" s="5"/>
      <c r="G81" s="5"/>
      <c r="H81" s="5"/>
      <c r="I81" s="5"/>
    </row>
    <row r="82" spans="1:9" ht="14" x14ac:dyDescent="0.3">
      <c r="A82" s="4" t="s">
        <v>1</v>
      </c>
      <c r="B82" s="1" t="s">
        <v>2</v>
      </c>
      <c r="C82" s="1" t="s">
        <v>3</v>
      </c>
      <c r="D82" s="1" t="s">
        <v>4</v>
      </c>
      <c r="E82" s="1" t="s">
        <v>5</v>
      </c>
      <c r="F82" s="1" t="s">
        <v>6</v>
      </c>
      <c r="G82" s="1" t="s">
        <v>7</v>
      </c>
      <c r="H82" s="1" t="s">
        <v>8</v>
      </c>
      <c r="I82" s="1" t="s">
        <v>9</v>
      </c>
    </row>
    <row r="83" spans="1:9" ht="14" x14ac:dyDescent="0.3">
      <c r="A83" s="4"/>
      <c r="B83" s="1">
        <v>2023</v>
      </c>
      <c r="C83" s="1">
        <v>2023</v>
      </c>
      <c r="D83" s="1">
        <v>2023</v>
      </c>
      <c r="E83" s="1">
        <v>2023</v>
      </c>
      <c r="F83" s="1">
        <v>2023</v>
      </c>
      <c r="G83" s="1">
        <v>2023</v>
      </c>
      <c r="H83" s="1">
        <v>2023</v>
      </c>
      <c r="I83" s="1">
        <v>2023</v>
      </c>
    </row>
    <row r="84" spans="1:9" ht="14" x14ac:dyDescent="0.3">
      <c r="A84" s="2" t="s">
        <v>10</v>
      </c>
      <c r="B84" s="3">
        <f>4502748</f>
        <v>4502748</v>
      </c>
      <c r="C84" s="3">
        <f>0</f>
        <v>0</v>
      </c>
      <c r="D84" s="3">
        <f>0</f>
        <v>0</v>
      </c>
      <c r="E84" s="3">
        <f>(4502748+0+0)</f>
        <v>4502748</v>
      </c>
      <c r="F84" s="3">
        <f>0</f>
        <v>0</v>
      </c>
      <c r="G84" s="3">
        <f>789667</f>
        <v>789667</v>
      </c>
      <c r="H84" s="3">
        <f>(0+789667)</f>
        <v>789667</v>
      </c>
      <c r="I84" s="3">
        <f>((4502748+0+0)-(0+789667))</f>
        <v>3713081</v>
      </c>
    </row>
    <row r="85" spans="1:9" ht="14" x14ac:dyDescent="0.3">
      <c r="A85" s="2" t="s">
        <v>11</v>
      </c>
      <c r="B85" s="3">
        <f>0</f>
        <v>0</v>
      </c>
      <c r="C85" s="3">
        <f>0</f>
        <v>0</v>
      </c>
      <c r="D85" s="3">
        <f>0</f>
        <v>0</v>
      </c>
      <c r="E85" s="3">
        <f>(0+0+0)</f>
        <v>0</v>
      </c>
      <c r="F85" s="3">
        <f>0</f>
        <v>0</v>
      </c>
      <c r="G85" s="3">
        <f>0</f>
        <v>0</v>
      </c>
      <c r="H85" s="3">
        <f>(0+0)</f>
        <v>0</v>
      </c>
      <c r="I85" s="3">
        <f>((0+0+0)-(0+0))</f>
        <v>0</v>
      </c>
    </row>
    <row r="86" spans="1:9" ht="14" x14ac:dyDescent="0.3">
      <c r="A86" s="2" t="s">
        <v>12</v>
      </c>
      <c r="B86" s="3">
        <f>6539450</f>
        <v>6539450</v>
      </c>
      <c r="C86" s="3">
        <f>0</f>
        <v>0</v>
      </c>
      <c r="D86" s="3">
        <f>0</f>
        <v>0</v>
      </c>
      <c r="E86" s="3">
        <f>(6539450+0+0)</f>
        <v>6539450</v>
      </c>
      <c r="F86" s="3">
        <f>0</f>
        <v>0</v>
      </c>
      <c r="G86" s="3">
        <f>881456</f>
        <v>881456</v>
      </c>
      <c r="H86" s="3">
        <f>(0+881456)</f>
        <v>881456</v>
      </c>
      <c r="I86" s="3">
        <f>((6539450+0+0)-(0+881456))</f>
        <v>5657994</v>
      </c>
    </row>
    <row r="87" spans="1:9" ht="14" x14ac:dyDescent="0.3">
      <c r="A87" s="2" t="s">
        <v>13</v>
      </c>
      <c r="B87" s="3">
        <f>2632193</f>
        <v>2632193</v>
      </c>
      <c r="C87" s="3">
        <f>0</f>
        <v>0</v>
      </c>
      <c r="D87" s="3">
        <f>0</f>
        <v>0</v>
      </c>
      <c r="E87" s="3">
        <f>(2632193+0+0)</f>
        <v>2632193</v>
      </c>
      <c r="F87" s="3">
        <f>0</f>
        <v>0</v>
      </c>
      <c r="G87" s="3">
        <f>96617</f>
        <v>96617</v>
      </c>
      <c r="H87" s="3">
        <f>(0+96617)</f>
        <v>96617</v>
      </c>
      <c r="I87" s="3">
        <f>((2632193+0+0)-(0+96617))</f>
        <v>2535576</v>
      </c>
    </row>
    <row r="88" spans="1:9" ht="14" x14ac:dyDescent="0.3">
      <c r="A88" s="2" t="s">
        <v>14</v>
      </c>
      <c r="B88" s="3">
        <f>7113989</f>
        <v>7113989</v>
      </c>
      <c r="C88" s="3">
        <f>0</f>
        <v>0</v>
      </c>
      <c r="D88" s="3">
        <f>0</f>
        <v>0</v>
      </c>
      <c r="E88" s="3">
        <f>(7113989+0+0)</f>
        <v>7113989</v>
      </c>
      <c r="F88" s="3">
        <f>3161</f>
        <v>3161</v>
      </c>
      <c r="G88" s="3">
        <f>174033</f>
        <v>174033</v>
      </c>
      <c r="H88" s="3">
        <f>(3161+174033)</f>
        <v>177194</v>
      </c>
      <c r="I88" s="3">
        <f>((7113989+0+0)-(3161+174033))</f>
        <v>6936795</v>
      </c>
    </row>
    <row r="89" spans="1:9" ht="14" x14ac:dyDescent="0.3">
      <c r="A89" s="2" t="s">
        <v>15</v>
      </c>
      <c r="B89" s="3">
        <f>4154592</f>
        <v>4154592</v>
      </c>
      <c r="C89" s="3">
        <f>0</f>
        <v>0</v>
      </c>
      <c r="D89" s="3">
        <f>0</f>
        <v>0</v>
      </c>
      <c r="E89" s="3">
        <f>(4154592+0+0)</f>
        <v>4154592</v>
      </c>
      <c r="F89" s="3">
        <f>0</f>
        <v>0</v>
      </c>
      <c r="G89" s="3">
        <f>450625</f>
        <v>450625</v>
      </c>
      <c r="H89" s="3">
        <f>(0+450625)</f>
        <v>450625</v>
      </c>
      <c r="I89" s="3">
        <f>((4154592+0+0)-(0+450625))</f>
        <v>3703967</v>
      </c>
    </row>
    <row r="90" spans="1:9" ht="14" x14ac:dyDescent="0.3">
      <c r="A90" s="2" t="s">
        <v>16</v>
      </c>
      <c r="B90" s="3">
        <f>3411891</f>
        <v>3411891</v>
      </c>
      <c r="C90" s="3">
        <f>0</f>
        <v>0</v>
      </c>
      <c r="D90" s="3">
        <f>0</f>
        <v>0</v>
      </c>
      <c r="E90" s="3">
        <f>(3411891+0+0)</f>
        <v>3411891</v>
      </c>
      <c r="F90" s="3">
        <f>22154</f>
        <v>22154</v>
      </c>
      <c r="G90" s="3">
        <f>192501</f>
        <v>192501</v>
      </c>
      <c r="H90" s="3">
        <f>(22154+192501)</f>
        <v>214655</v>
      </c>
      <c r="I90" s="3">
        <f>((3411891+0+0)-(22154+192501))</f>
        <v>3197236</v>
      </c>
    </row>
    <row r="91" spans="1:9" ht="14" x14ac:dyDescent="0.3">
      <c r="A91" s="2" t="s">
        <v>17</v>
      </c>
      <c r="B91" s="3">
        <f>352500</f>
        <v>352500</v>
      </c>
      <c r="C91" s="3">
        <f>0</f>
        <v>0</v>
      </c>
      <c r="D91" s="3">
        <f>0</f>
        <v>0</v>
      </c>
      <c r="E91" s="3">
        <f>(352500+0+0)</f>
        <v>352500</v>
      </c>
      <c r="F91" s="3">
        <f>0</f>
        <v>0</v>
      </c>
      <c r="G91" s="3">
        <f>0</f>
        <v>0</v>
      </c>
      <c r="H91" s="3">
        <f>(0+0)</f>
        <v>0</v>
      </c>
      <c r="I91" s="3">
        <f>((352500+0+0)-(0+0))</f>
        <v>352500</v>
      </c>
    </row>
    <row r="92" spans="1:9" ht="14" x14ac:dyDescent="0.3">
      <c r="A92" s="2" t="s">
        <v>18</v>
      </c>
      <c r="B92" s="3">
        <f>274326</f>
        <v>274326</v>
      </c>
      <c r="C92" s="3">
        <f>0</f>
        <v>0</v>
      </c>
      <c r="D92" s="3">
        <f>0</f>
        <v>0</v>
      </c>
      <c r="E92" s="3">
        <f>(274326+0+0)</f>
        <v>274326</v>
      </c>
      <c r="F92" s="3">
        <f>0</f>
        <v>0</v>
      </c>
      <c r="G92" s="3">
        <f>23668</f>
        <v>23668</v>
      </c>
      <c r="H92" s="3">
        <f>(0+23668)</f>
        <v>23668</v>
      </c>
      <c r="I92" s="3">
        <f>((274326+0+0)-(0+23668))</f>
        <v>250658</v>
      </c>
    </row>
    <row r="93" spans="1:9" ht="14" x14ac:dyDescent="0.3">
      <c r="A93" s="2" t="s">
        <v>19</v>
      </c>
      <c r="B93" s="3">
        <f>3329502</f>
        <v>3329502</v>
      </c>
      <c r="C93" s="3">
        <f>0</f>
        <v>0</v>
      </c>
      <c r="D93" s="3">
        <f>0</f>
        <v>0</v>
      </c>
      <c r="E93" s="3">
        <f>(3329502+0+0)</f>
        <v>3329502</v>
      </c>
      <c r="F93" s="3">
        <f>0</f>
        <v>0</v>
      </c>
      <c r="G93" s="3">
        <f>1087232</f>
        <v>1087232</v>
      </c>
      <c r="H93" s="3">
        <f>(0+1087232)</f>
        <v>1087232</v>
      </c>
      <c r="I93" s="3">
        <f>((3329502+0+0)-(0+1087232))</f>
        <v>2242270</v>
      </c>
    </row>
    <row r="94" spans="1:9" ht="14" x14ac:dyDescent="0.3">
      <c r="A94" s="2" t="s">
        <v>20</v>
      </c>
      <c r="B94" s="3">
        <f>310316</f>
        <v>310316</v>
      </c>
      <c r="C94" s="3">
        <f>0</f>
        <v>0</v>
      </c>
      <c r="D94" s="3">
        <f>0</f>
        <v>0</v>
      </c>
      <c r="E94" s="3">
        <f>(310316+0+0)</f>
        <v>310316</v>
      </c>
      <c r="F94" s="3">
        <f>0</f>
        <v>0</v>
      </c>
      <c r="G94" s="3">
        <f>47729</f>
        <v>47729</v>
      </c>
      <c r="H94" s="3">
        <f>(0+47729)</f>
        <v>47729</v>
      </c>
      <c r="I94" s="3">
        <f>((310316+0+0)-(0+47729))</f>
        <v>262587</v>
      </c>
    </row>
    <row r="95" spans="1:9" ht="14" x14ac:dyDescent="0.3">
      <c r="A95" s="2" t="s">
        <v>21</v>
      </c>
      <c r="B95" s="3">
        <f>0</f>
        <v>0</v>
      </c>
      <c r="C95" s="3">
        <f>0</f>
        <v>0</v>
      </c>
      <c r="D95" s="3">
        <f>0</f>
        <v>0</v>
      </c>
      <c r="E95" s="3">
        <f>(0+0+0)</f>
        <v>0</v>
      </c>
      <c r="F95" s="3">
        <f>0</f>
        <v>0</v>
      </c>
      <c r="G95" s="3">
        <f>0</f>
        <v>0</v>
      </c>
      <c r="H95" s="3">
        <f>(0+0)</f>
        <v>0</v>
      </c>
      <c r="I95" s="3">
        <f>((0+0+0)-(0+0))</f>
        <v>0</v>
      </c>
    </row>
    <row r="96" spans="1:9" ht="14" x14ac:dyDescent="0.3">
      <c r="A96" s="2" t="s">
        <v>22</v>
      </c>
      <c r="B96" s="3">
        <f>5267494</f>
        <v>5267494</v>
      </c>
      <c r="C96" s="3">
        <f>0</f>
        <v>0</v>
      </c>
      <c r="D96" s="3">
        <f>0</f>
        <v>0</v>
      </c>
      <c r="E96" s="3">
        <f>(5267494+0+0)</f>
        <v>5267494</v>
      </c>
      <c r="F96" s="3">
        <f>0</f>
        <v>0</v>
      </c>
      <c r="G96" s="3">
        <f>251452</f>
        <v>251452</v>
      </c>
      <c r="H96" s="3">
        <f>(0+251452)</f>
        <v>251452</v>
      </c>
      <c r="I96" s="3">
        <f>((5267494+0+0)-(0+251452))</f>
        <v>5016042</v>
      </c>
    </row>
    <row r="97" spans="1:9" ht="14" x14ac:dyDescent="0.3">
      <c r="A97" s="2" t="s">
        <v>23</v>
      </c>
      <c r="B97" s="3">
        <f>276877</f>
        <v>276877</v>
      </c>
      <c r="C97" s="3">
        <f>0</f>
        <v>0</v>
      </c>
      <c r="D97" s="3">
        <f>0</f>
        <v>0</v>
      </c>
      <c r="E97" s="3">
        <f>(276877+0+0)</f>
        <v>276877</v>
      </c>
      <c r="F97" s="3">
        <f>0</f>
        <v>0</v>
      </c>
      <c r="G97" s="3">
        <f>157646</f>
        <v>157646</v>
      </c>
      <c r="H97" s="3">
        <f>(0+157646)</f>
        <v>157646</v>
      </c>
      <c r="I97" s="3">
        <f>((276877+0+0)-(0+157646))</f>
        <v>119231</v>
      </c>
    </row>
    <row r="98" spans="1:9" ht="14" x14ac:dyDescent="0.3">
      <c r="A98" s="2" t="s">
        <v>24</v>
      </c>
      <c r="B98" s="3">
        <f>2906584</f>
        <v>2906584</v>
      </c>
      <c r="C98" s="3">
        <f>0</f>
        <v>0</v>
      </c>
      <c r="D98" s="3">
        <f>0</f>
        <v>0</v>
      </c>
      <c r="E98" s="3">
        <f>(2906584+0+0)</f>
        <v>2906584</v>
      </c>
      <c r="F98" s="3">
        <f>0</f>
        <v>0</v>
      </c>
      <c r="G98" s="3">
        <f>1127759</f>
        <v>1127759</v>
      </c>
      <c r="H98" s="3">
        <f>(0+1127759)</f>
        <v>1127759</v>
      </c>
      <c r="I98" s="3">
        <f>((2906584+0+0)-(0+1127759))</f>
        <v>1778825</v>
      </c>
    </row>
    <row r="99" spans="1:9" ht="14" x14ac:dyDescent="0.3">
      <c r="A99" s="2" t="s">
        <v>25</v>
      </c>
      <c r="B99" s="3">
        <f>1973440</f>
        <v>1973440</v>
      </c>
      <c r="C99" s="3">
        <f>0</f>
        <v>0</v>
      </c>
      <c r="D99" s="3">
        <f>0</f>
        <v>0</v>
      </c>
      <c r="E99" s="3">
        <f>(1973440+0+0)</f>
        <v>1973440</v>
      </c>
      <c r="F99" s="3">
        <f>0</f>
        <v>0</v>
      </c>
      <c r="G99" s="3">
        <f>176896</f>
        <v>176896</v>
      </c>
      <c r="H99" s="3">
        <f>(0+176896)</f>
        <v>176896</v>
      </c>
      <c r="I99" s="3">
        <f>((1973440+0+0)-(0+176896))</f>
        <v>1796544</v>
      </c>
    </row>
    <row r="100" spans="1:9" ht="14" x14ac:dyDescent="0.3">
      <c r="A100" s="2" t="s">
        <v>26</v>
      </c>
      <c r="B100" s="3">
        <f>5439354</f>
        <v>5439354</v>
      </c>
      <c r="C100" s="3">
        <f>0</f>
        <v>0</v>
      </c>
      <c r="D100" s="3">
        <f>0</f>
        <v>0</v>
      </c>
      <c r="E100" s="3">
        <f>(5439354+0+0)</f>
        <v>5439354</v>
      </c>
      <c r="F100" s="3">
        <f>0</f>
        <v>0</v>
      </c>
      <c r="G100" s="3">
        <f>52496</f>
        <v>52496</v>
      </c>
      <c r="H100" s="3">
        <f>(0+52496)</f>
        <v>52496</v>
      </c>
      <c r="I100" s="3">
        <f>((5439354+0+0)-(0+52496))</f>
        <v>5386858</v>
      </c>
    </row>
    <row r="101" spans="1:9" ht="14" x14ac:dyDescent="0.3">
      <c r="A101" s="5" t="s">
        <v>31</v>
      </c>
      <c r="B101" s="5"/>
      <c r="C101" s="5"/>
      <c r="D101" s="5"/>
      <c r="E101" s="5"/>
      <c r="F101" s="5"/>
      <c r="G101" s="5"/>
      <c r="H101" s="5"/>
      <c r="I101" s="5"/>
    </row>
    <row r="102" spans="1:9" ht="14" x14ac:dyDescent="0.3">
      <c r="A102" s="4" t="s">
        <v>1</v>
      </c>
      <c r="B102" s="1" t="s">
        <v>2</v>
      </c>
      <c r="C102" s="1" t="s">
        <v>3</v>
      </c>
      <c r="D102" s="1" t="s">
        <v>4</v>
      </c>
      <c r="E102" s="1" t="s">
        <v>5</v>
      </c>
      <c r="F102" s="1" t="s">
        <v>6</v>
      </c>
      <c r="G102" s="1" t="s">
        <v>7</v>
      </c>
      <c r="H102" s="1" t="s">
        <v>8</v>
      </c>
      <c r="I102" s="1" t="s">
        <v>9</v>
      </c>
    </row>
    <row r="103" spans="1:9" ht="14" x14ac:dyDescent="0.3">
      <c r="A103" s="4"/>
      <c r="B103" s="1">
        <v>2023</v>
      </c>
      <c r="C103" s="1">
        <v>2023</v>
      </c>
      <c r="D103" s="1">
        <v>2023</v>
      </c>
      <c r="E103" s="1">
        <v>2023</v>
      </c>
      <c r="F103" s="1">
        <v>2023</v>
      </c>
      <c r="G103" s="1">
        <v>2023</v>
      </c>
      <c r="H103" s="1">
        <v>2023</v>
      </c>
      <c r="I103" s="1">
        <v>2023</v>
      </c>
    </row>
    <row r="104" spans="1:9" ht="14" x14ac:dyDescent="0.3">
      <c r="A104" s="2" t="s">
        <v>10</v>
      </c>
      <c r="B104" s="3">
        <f>4312346</f>
        <v>4312346</v>
      </c>
      <c r="C104" s="3">
        <f>0</f>
        <v>0</v>
      </c>
      <c r="D104" s="3">
        <f>0</f>
        <v>0</v>
      </c>
      <c r="E104" s="3">
        <f>(4312346+0+0)</f>
        <v>4312346</v>
      </c>
      <c r="F104" s="3">
        <f>0</f>
        <v>0</v>
      </c>
      <c r="G104" s="3">
        <f>691250</f>
        <v>691250</v>
      </c>
      <c r="H104" s="3">
        <f>(0+691250)</f>
        <v>691250</v>
      </c>
      <c r="I104" s="3">
        <f>((4312346+0+0)-(0+691250))</f>
        <v>3621096</v>
      </c>
    </row>
    <row r="105" spans="1:9" ht="14" x14ac:dyDescent="0.3">
      <c r="A105" s="2" t="s">
        <v>11</v>
      </c>
      <c r="B105" s="3">
        <f>0</f>
        <v>0</v>
      </c>
      <c r="C105" s="3">
        <f>0</f>
        <v>0</v>
      </c>
      <c r="D105" s="3">
        <f>0</f>
        <v>0</v>
      </c>
      <c r="E105" s="3">
        <f>(0+0+0)</f>
        <v>0</v>
      </c>
      <c r="F105" s="3">
        <f>0</f>
        <v>0</v>
      </c>
      <c r="G105" s="3">
        <f>0</f>
        <v>0</v>
      </c>
      <c r="H105" s="3">
        <f>(0+0)</f>
        <v>0</v>
      </c>
      <c r="I105" s="3">
        <f>((0+0+0)-(0+0))</f>
        <v>0</v>
      </c>
    </row>
    <row r="106" spans="1:9" ht="14" x14ac:dyDescent="0.3">
      <c r="A106" s="2" t="s">
        <v>12</v>
      </c>
      <c r="B106" s="3">
        <f>8548494</f>
        <v>8548494</v>
      </c>
      <c r="C106" s="3">
        <f>0</f>
        <v>0</v>
      </c>
      <c r="D106" s="3">
        <f>0</f>
        <v>0</v>
      </c>
      <c r="E106" s="3">
        <f>(8548494+0+0)</f>
        <v>8548494</v>
      </c>
      <c r="F106" s="3">
        <f>0</f>
        <v>0</v>
      </c>
      <c r="G106" s="3">
        <f>1176272</f>
        <v>1176272</v>
      </c>
      <c r="H106" s="3">
        <f>(0+1176272)</f>
        <v>1176272</v>
      </c>
      <c r="I106" s="3">
        <f>((8548494+0+0)-(0+1176272))</f>
        <v>7372222</v>
      </c>
    </row>
    <row r="107" spans="1:9" ht="14" x14ac:dyDescent="0.3">
      <c r="A107" s="2" t="s">
        <v>13</v>
      </c>
      <c r="B107" s="3">
        <f>2545693</f>
        <v>2545693</v>
      </c>
      <c r="C107" s="3">
        <f>0</f>
        <v>0</v>
      </c>
      <c r="D107" s="3">
        <f>0</f>
        <v>0</v>
      </c>
      <c r="E107" s="3">
        <f>(2545693+0+0)</f>
        <v>2545693</v>
      </c>
      <c r="F107" s="3">
        <f>0</f>
        <v>0</v>
      </c>
      <c r="G107" s="3">
        <f>111225</f>
        <v>111225</v>
      </c>
      <c r="H107" s="3">
        <f>(0+111225)</f>
        <v>111225</v>
      </c>
      <c r="I107" s="3">
        <f>((2545693+0+0)-(0+111225))</f>
        <v>2434468</v>
      </c>
    </row>
    <row r="108" spans="1:9" ht="14" x14ac:dyDescent="0.3">
      <c r="A108" s="2" t="s">
        <v>14</v>
      </c>
      <c r="B108" s="3">
        <f>8566461</f>
        <v>8566461</v>
      </c>
      <c r="C108" s="3">
        <f>0</f>
        <v>0</v>
      </c>
      <c r="D108" s="3">
        <f>0</f>
        <v>0</v>
      </c>
      <c r="E108" s="3">
        <f>(8566461+0+0)</f>
        <v>8566461</v>
      </c>
      <c r="F108" s="3">
        <f>6537</f>
        <v>6537</v>
      </c>
      <c r="G108" s="3">
        <f>231989</f>
        <v>231989</v>
      </c>
      <c r="H108" s="3">
        <f>(6537+231989)</f>
        <v>238526</v>
      </c>
      <c r="I108" s="3">
        <f>((8566461+0+0)-(6537+231989))</f>
        <v>8327935</v>
      </c>
    </row>
    <row r="109" spans="1:9" ht="14" x14ac:dyDescent="0.3">
      <c r="A109" s="2" t="s">
        <v>15</v>
      </c>
      <c r="B109" s="3">
        <f>3378310</f>
        <v>3378310</v>
      </c>
      <c r="C109" s="3">
        <f>0</f>
        <v>0</v>
      </c>
      <c r="D109" s="3">
        <f>0</f>
        <v>0</v>
      </c>
      <c r="E109" s="3">
        <f>(3378310+0+0)</f>
        <v>3378310</v>
      </c>
      <c r="F109" s="3">
        <f>0</f>
        <v>0</v>
      </c>
      <c r="G109" s="3">
        <f>36318</f>
        <v>36318</v>
      </c>
      <c r="H109" s="3">
        <f>(0+36318)</f>
        <v>36318</v>
      </c>
      <c r="I109" s="3">
        <f>((3378310+0+0)-(0+36318))</f>
        <v>3341992</v>
      </c>
    </row>
    <row r="110" spans="1:9" ht="14" x14ac:dyDescent="0.3">
      <c r="A110" s="2" t="s">
        <v>16</v>
      </c>
      <c r="B110" s="3">
        <f>4146722</f>
        <v>4146722</v>
      </c>
      <c r="C110" s="3">
        <f>0</f>
        <v>0</v>
      </c>
      <c r="D110" s="3">
        <f>0</f>
        <v>0</v>
      </c>
      <c r="E110" s="3">
        <f>(4146722+0+0)</f>
        <v>4146722</v>
      </c>
      <c r="F110" s="3">
        <f>22312</f>
        <v>22312</v>
      </c>
      <c r="G110" s="3">
        <f>193973</f>
        <v>193973</v>
      </c>
      <c r="H110" s="3">
        <f>(22312+193973)</f>
        <v>216285</v>
      </c>
      <c r="I110" s="3">
        <f>((4146722+0+0)-(22312+193973))</f>
        <v>3930437</v>
      </c>
    </row>
    <row r="111" spans="1:9" ht="14" x14ac:dyDescent="0.3">
      <c r="A111" s="2" t="s">
        <v>17</v>
      </c>
      <c r="B111" s="3">
        <f>849129</f>
        <v>849129</v>
      </c>
      <c r="C111" s="3">
        <f>0</f>
        <v>0</v>
      </c>
      <c r="D111" s="3">
        <f>0</f>
        <v>0</v>
      </c>
      <c r="E111" s="3">
        <f>(849129+0+0)</f>
        <v>849129</v>
      </c>
      <c r="F111" s="3">
        <f>0</f>
        <v>0</v>
      </c>
      <c r="G111" s="3">
        <f>0</f>
        <v>0</v>
      </c>
      <c r="H111" s="3">
        <f>(0+0)</f>
        <v>0</v>
      </c>
      <c r="I111" s="3">
        <f>((849129+0+0)-(0+0))</f>
        <v>849129</v>
      </c>
    </row>
    <row r="112" spans="1:9" ht="14" x14ac:dyDescent="0.3">
      <c r="A112" s="2" t="s">
        <v>18</v>
      </c>
      <c r="B112" s="3">
        <f>63273</f>
        <v>63273</v>
      </c>
      <c r="C112" s="3">
        <f>0</f>
        <v>0</v>
      </c>
      <c r="D112" s="3">
        <f>0</f>
        <v>0</v>
      </c>
      <c r="E112" s="3">
        <f>(63273+0+0)</f>
        <v>63273</v>
      </c>
      <c r="F112" s="3">
        <f>0</f>
        <v>0</v>
      </c>
      <c r="G112" s="3">
        <f>3901</f>
        <v>3901</v>
      </c>
      <c r="H112" s="3">
        <f>(0+3901)</f>
        <v>3901</v>
      </c>
      <c r="I112" s="3">
        <f>((63273+0+0)-(0+3901))</f>
        <v>59372</v>
      </c>
    </row>
    <row r="113" spans="1:9" ht="14" x14ac:dyDescent="0.3">
      <c r="A113" s="2" t="s">
        <v>19</v>
      </c>
      <c r="B113" s="3">
        <f>1731416</f>
        <v>1731416</v>
      </c>
      <c r="C113" s="3">
        <f>0</f>
        <v>0</v>
      </c>
      <c r="D113" s="3">
        <f>0</f>
        <v>0</v>
      </c>
      <c r="E113" s="3">
        <f>(1731416+0+0)</f>
        <v>1731416</v>
      </c>
      <c r="F113" s="3">
        <f>0</f>
        <v>0</v>
      </c>
      <c r="G113" s="3">
        <f>591290</f>
        <v>591290</v>
      </c>
      <c r="H113" s="3">
        <f>(0+591290)</f>
        <v>591290</v>
      </c>
      <c r="I113" s="3">
        <f>((1731416+0+0)-(0+591290))</f>
        <v>1140126</v>
      </c>
    </row>
    <row r="114" spans="1:9" ht="14" x14ac:dyDescent="0.3">
      <c r="A114" s="2" t="s">
        <v>20</v>
      </c>
      <c r="B114" s="3">
        <f>6575</f>
        <v>6575</v>
      </c>
      <c r="C114" s="3">
        <f>0</f>
        <v>0</v>
      </c>
      <c r="D114" s="3">
        <f>0</f>
        <v>0</v>
      </c>
      <c r="E114" s="3">
        <f>(6575+0+0)</f>
        <v>6575</v>
      </c>
      <c r="F114" s="3">
        <f>0</f>
        <v>0</v>
      </c>
      <c r="G114" s="3">
        <f>95</f>
        <v>95</v>
      </c>
      <c r="H114" s="3">
        <f>(0+95)</f>
        <v>95</v>
      </c>
      <c r="I114" s="3">
        <f>((6575+0+0)-(0+95))</f>
        <v>6480</v>
      </c>
    </row>
    <row r="115" spans="1:9" ht="14" x14ac:dyDescent="0.3">
      <c r="A115" s="2" t="s">
        <v>21</v>
      </c>
      <c r="B115" s="3">
        <f>0</f>
        <v>0</v>
      </c>
      <c r="C115" s="3">
        <f>0</f>
        <v>0</v>
      </c>
      <c r="D115" s="3">
        <f>0</f>
        <v>0</v>
      </c>
      <c r="E115" s="3">
        <f>(0+0+0)</f>
        <v>0</v>
      </c>
      <c r="F115" s="3">
        <f>0</f>
        <v>0</v>
      </c>
      <c r="G115" s="3">
        <f>0</f>
        <v>0</v>
      </c>
      <c r="H115" s="3">
        <f>(0+0)</f>
        <v>0</v>
      </c>
      <c r="I115" s="3">
        <f>((0+0+0)-(0+0))</f>
        <v>0</v>
      </c>
    </row>
    <row r="116" spans="1:9" ht="14" x14ac:dyDescent="0.3">
      <c r="A116" s="2" t="s">
        <v>22</v>
      </c>
      <c r="B116" s="3">
        <f>10510012</f>
        <v>10510012</v>
      </c>
      <c r="C116" s="3">
        <f>0</f>
        <v>0</v>
      </c>
      <c r="D116" s="3">
        <f>0</f>
        <v>0</v>
      </c>
      <c r="E116" s="3">
        <f>(10510012+0+0)</f>
        <v>10510012</v>
      </c>
      <c r="F116" s="3">
        <f>0</f>
        <v>0</v>
      </c>
      <c r="G116" s="3">
        <f>345396</f>
        <v>345396</v>
      </c>
      <c r="H116" s="3">
        <f>(0+345396)</f>
        <v>345396</v>
      </c>
      <c r="I116" s="3">
        <f>((10510012+0+0)-(0+345396))</f>
        <v>10164616</v>
      </c>
    </row>
    <row r="117" spans="1:9" ht="14" x14ac:dyDescent="0.3">
      <c r="A117" s="2" t="s">
        <v>23</v>
      </c>
      <c r="B117" s="3">
        <f>3390</f>
        <v>3390</v>
      </c>
      <c r="C117" s="3">
        <f>0</f>
        <v>0</v>
      </c>
      <c r="D117" s="3">
        <f>0</f>
        <v>0</v>
      </c>
      <c r="E117" s="3">
        <f>(3390+0+0)</f>
        <v>3390</v>
      </c>
      <c r="F117" s="3">
        <f>0</f>
        <v>0</v>
      </c>
      <c r="G117" s="3">
        <f>2989</f>
        <v>2989</v>
      </c>
      <c r="H117" s="3">
        <f>(0+2989)</f>
        <v>2989</v>
      </c>
      <c r="I117" s="3">
        <f>((3390+0+0)-(0+2989))</f>
        <v>401</v>
      </c>
    </row>
    <row r="118" spans="1:9" ht="14" x14ac:dyDescent="0.3">
      <c r="A118" s="2" t="s">
        <v>24</v>
      </c>
      <c r="B118" s="3">
        <f>2663620</f>
        <v>2663620</v>
      </c>
      <c r="C118" s="3">
        <f>0</f>
        <v>0</v>
      </c>
      <c r="D118" s="3">
        <f>0</f>
        <v>0</v>
      </c>
      <c r="E118" s="3">
        <f>(2663620+0+0)</f>
        <v>2663620</v>
      </c>
      <c r="F118" s="3">
        <f>0</f>
        <v>0</v>
      </c>
      <c r="G118" s="3">
        <f>1031870</f>
        <v>1031870</v>
      </c>
      <c r="H118" s="3">
        <f>(0+1031870)</f>
        <v>1031870</v>
      </c>
      <c r="I118" s="3">
        <f>((2663620+0+0)-(0+1031870))</f>
        <v>1631750</v>
      </c>
    </row>
    <row r="119" spans="1:9" ht="14" x14ac:dyDescent="0.3">
      <c r="A119" s="2" t="s">
        <v>25</v>
      </c>
      <c r="B119" s="3">
        <f>2517947</f>
        <v>2517947</v>
      </c>
      <c r="C119" s="3">
        <f>0</f>
        <v>0</v>
      </c>
      <c r="D119" s="3">
        <f>0</f>
        <v>0</v>
      </c>
      <c r="E119" s="3">
        <f>(2517947+0+0)</f>
        <v>2517947</v>
      </c>
      <c r="F119" s="3">
        <f>0</f>
        <v>0</v>
      </c>
      <c r="G119" s="3">
        <f>0</f>
        <v>0</v>
      </c>
      <c r="H119" s="3">
        <f>(0+0)</f>
        <v>0</v>
      </c>
      <c r="I119" s="3">
        <f>((2517947+0+0)-(0+0))</f>
        <v>2517947</v>
      </c>
    </row>
    <row r="120" spans="1:9" ht="14" x14ac:dyDescent="0.3">
      <c r="A120" s="2" t="s">
        <v>26</v>
      </c>
      <c r="B120" s="3">
        <f>1630126</f>
        <v>1630126</v>
      </c>
      <c r="C120" s="3">
        <f>0</f>
        <v>0</v>
      </c>
      <c r="D120" s="3">
        <f>0</f>
        <v>0</v>
      </c>
      <c r="E120" s="3">
        <f>(1630126+0+0)</f>
        <v>1630126</v>
      </c>
      <c r="F120" s="3">
        <f>0</f>
        <v>0</v>
      </c>
      <c r="G120" s="3">
        <f>12986</f>
        <v>12986</v>
      </c>
      <c r="H120" s="3">
        <f>(0+12986)</f>
        <v>12986</v>
      </c>
      <c r="I120" s="3">
        <f>((1630126+0+0)-(0+12986))</f>
        <v>1617140</v>
      </c>
    </row>
    <row r="121" spans="1:9" ht="14" x14ac:dyDescent="0.3">
      <c r="A121" s="5" t="s">
        <v>32</v>
      </c>
      <c r="B121" s="5"/>
      <c r="C121" s="5"/>
      <c r="D121" s="5"/>
      <c r="E121" s="5"/>
      <c r="F121" s="5"/>
      <c r="G121" s="5"/>
      <c r="H121" s="5"/>
      <c r="I121" s="5"/>
    </row>
    <row r="122" spans="1:9" ht="14" x14ac:dyDescent="0.3">
      <c r="A122" s="4" t="s">
        <v>1</v>
      </c>
      <c r="B122" s="1" t="s">
        <v>2</v>
      </c>
      <c r="C122" s="1" t="s">
        <v>3</v>
      </c>
      <c r="D122" s="1" t="s">
        <v>4</v>
      </c>
      <c r="E122" s="1" t="s">
        <v>5</v>
      </c>
      <c r="F122" s="1" t="s">
        <v>6</v>
      </c>
      <c r="G122" s="1" t="s">
        <v>7</v>
      </c>
      <c r="H122" s="1" t="s">
        <v>8</v>
      </c>
      <c r="I122" s="1" t="s">
        <v>9</v>
      </c>
    </row>
    <row r="123" spans="1:9" ht="14" x14ac:dyDescent="0.3">
      <c r="A123" s="4"/>
      <c r="B123" s="1">
        <v>2023</v>
      </c>
      <c r="C123" s="1">
        <v>2023</v>
      </c>
      <c r="D123" s="1">
        <v>2023</v>
      </c>
      <c r="E123" s="1">
        <v>2023</v>
      </c>
      <c r="F123" s="1">
        <v>2023</v>
      </c>
      <c r="G123" s="1">
        <v>2023</v>
      </c>
      <c r="H123" s="1">
        <v>2023</v>
      </c>
      <c r="I123" s="1">
        <v>2023</v>
      </c>
    </row>
    <row r="124" spans="1:9" ht="14" x14ac:dyDescent="0.3">
      <c r="A124" s="2" t="s">
        <v>10</v>
      </c>
      <c r="B124" s="3">
        <f>1350641</f>
        <v>1350641</v>
      </c>
      <c r="C124" s="3">
        <f>0</f>
        <v>0</v>
      </c>
      <c r="D124" s="3">
        <f>0</f>
        <v>0</v>
      </c>
      <c r="E124" s="3">
        <f>(1350641+0+0)</f>
        <v>1350641</v>
      </c>
      <c r="F124" s="3">
        <f>222</f>
        <v>222</v>
      </c>
      <c r="G124" s="3">
        <f>815796</f>
        <v>815796</v>
      </c>
      <c r="H124" s="3">
        <f>(222+815796)</f>
        <v>816018</v>
      </c>
      <c r="I124" s="3">
        <f>((1350641+0+0)-(222+815796))</f>
        <v>534623</v>
      </c>
    </row>
    <row r="125" spans="1:9" ht="14" x14ac:dyDescent="0.3">
      <c r="A125" s="2" t="s">
        <v>11</v>
      </c>
      <c r="B125" s="3">
        <f>0</f>
        <v>0</v>
      </c>
      <c r="C125" s="3">
        <f>0</f>
        <v>0</v>
      </c>
      <c r="D125" s="3">
        <f>0</f>
        <v>0</v>
      </c>
      <c r="E125" s="3">
        <f>(0+0+0)</f>
        <v>0</v>
      </c>
      <c r="F125" s="3">
        <f>0</f>
        <v>0</v>
      </c>
      <c r="G125" s="3">
        <f>0</f>
        <v>0</v>
      </c>
      <c r="H125" s="3">
        <f>(0+0)</f>
        <v>0</v>
      </c>
      <c r="I125" s="3">
        <f>((0+0+0)-(0+0))</f>
        <v>0</v>
      </c>
    </row>
    <row r="126" spans="1:9" ht="14" x14ac:dyDescent="0.3">
      <c r="A126" s="2" t="s">
        <v>12</v>
      </c>
      <c r="B126" s="3">
        <f>846509</f>
        <v>846509</v>
      </c>
      <c r="C126" s="3">
        <f>0</f>
        <v>0</v>
      </c>
      <c r="D126" s="3">
        <f>0</f>
        <v>0</v>
      </c>
      <c r="E126" s="3">
        <f>(846509+0+0)</f>
        <v>846509</v>
      </c>
      <c r="F126" s="3">
        <f>0</f>
        <v>0</v>
      </c>
      <c r="G126" s="3">
        <f>644312</f>
        <v>644312</v>
      </c>
      <c r="H126" s="3">
        <f>(0+644312)</f>
        <v>644312</v>
      </c>
      <c r="I126" s="3">
        <f>((846509+0+0)-(0+644312))</f>
        <v>202197</v>
      </c>
    </row>
    <row r="127" spans="1:9" ht="14" x14ac:dyDescent="0.3">
      <c r="A127" s="2" t="s">
        <v>13</v>
      </c>
      <c r="B127" s="3">
        <f>508070</f>
        <v>508070</v>
      </c>
      <c r="C127" s="3">
        <f>0</f>
        <v>0</v>
      </c>
      <c r="D127" s="3">
        <f>0</f>
        <v>0</v>
      </c>
      <c r="E127" s="3">
        <f>(508070+0+0)</f>
        <v>508070</v>
      </c>
      <c r="F127" s="3">
        <f>230</f>
        <v>230</v>
      </c>
      <c r="G127" s="3">
        <f>84317</f>
        <v>84317</v>
      </c>
      <c r="H127" s="3">
        <f>(230+84317)</f>
        <v>84547</v>
      </c>
      <c r="I127" s="3">
        <f>((508070+0+0)-(230+84317))</f>
        <v>423523</v>
      </c>
    </row>
    <row r="128" spans="1:9" ht="14" x14ac:dyDescent="0.3">
      <c r="A128" s="2" t="s">
        <v>14</v>
      </c>
      <c r="B128" s="3">
        <f>203305</f>
        <v>203305</v>
      </c>
      <c r="C128" s="3">
        <f>0</f>
        <v>0</v>
      </c>
      <c r="D128" s="3">
        <f>0</f>
        <v>0</v>
      </c>
      <c r="E128" s="3">
        <f>(203305+0+0)</f>
        <v>203305</v>
      </c>
      <c r="F128" s="3">
        <f>0</f>
        <v>0</v>
      </c>
      <c r="G128" s="3">
        <f>66639</f>
        <v>66639</v>
      </c>
      <c r="H128" s="3">
        <f>(0+66639)</f>
        <v>66639</v>
      </c>
      <c r="I128" s="3">
        <f>((203305+0+0)-(0+66639))</f>
        <v>136666</v>
      </c>
    </row>
    <row r="129" spans="1:9" ht="14" x14ac:dyDescent="0.3">
      <c r="A129" s="2" t="s">
        <v>15</v>
      </c>
      <c r="B129" s="3">
        <f>4210193</f>
        <v>4210193</v>
      </c>
      <c r="C129" s="3">
        <f>0</f>
        <v>0</v>
      </c>
      <c r="D129" s="3">
        <f>0</f>
        <v>0</v>
      </c>
      <c r="E129" s="3">
        <f>(4210193+0+0)</f>
        <v>4210193</v>
      </c>
      <c r="F129" s="3">
        <f>2167</f>
        <v>2167</v>
      </c>
      <c r="G129" s="3">
        <f>3757032</f>
        <v>3757032</v>
      </c>
      <c r="H129" s="3">
        <f>(2167+3757032)</f>
        <v>3759199</v>
      </c>
      <c r="I129" s="3">
        <f>((4210193+0+0)-(2167+3757032))</f>
        <v>450994</v>
      </c>
    </row>
    <row r="130" spans="1:9" ht="14" x14ac:dyDescent="0.3">
      <c r="A130" s="2" t="s">
        <v>16</v>
      </c>
      <c r="B130" s="3">
        <f>287447</f>
        <v>287447</v>
      </c>
      <c r="C130" s="3">
        <f>0</f>
        <v>0</v>
      </c>
      <c r="D130" s="3">
        <f>0</f>
        <v>0</v>
      </c>
      <c r="E130" s="3">
        <f>(287447+0+0)</f>
        <v>287447</v>
      </c>
      <c r="F130" s="3">
        <f>18787</f>
        <v>18787</v>
      </c>
      <c r="G130" s="3">
        <f>222599</f>
        <v>222599</v>
      </c>
      <c r="H130" s="3">
        <f>(18787+222599)</f>
        <v>241386</v>
      </c>
      <c r="I130" s="3">
        <f>((287447+0+0)-(18787+222599))</f>
        <v>46061</v>
      </c>
    </row>
    <row r="131" spans="1:9" ht="14" x14ac:dyDescent="0.3">
      <c r="A131" s="2" t="s">
        <v>17</v>
      </c>
      <c r="B131" s="3">
        <f>6395</f>
        <v>6395</v>
      </c>
      <c r="C131" s="3">
        <f>0</f>
        <v>0</v>
      </c>
      <c r="D131" s="3">
        <f>0</f>
        <v>0</v>
      </c>
      <c r="E131" s="3">
        <f>(6395+0+0)</f>
        <v>6395</v>
      </c>
      <c r="F131" s="3">
        <f>0</f>
        <v>0</v>
      </c>
      <c r="G131" s="3">
        <f>0</f>
        <v>0</v>
      </c>
      <c r="H131" s="3">
        <f>(0+0)</f>
        <v>0</v>
      </c>
      <c r="I131" s="3">
        <f>((6395+0+0)-(0+0))</f>
        <v>6395</v>
      </c>
    </row>
    <row r="132" spans="1:9" ht="14" x14ac:dyDescent="0.3">
      <c r="A132" s="2" t="s">
        <v>18</v>
      </c>
      <c r="B132" s="3">
        <f>51721</f>
        <v>51721</v>
      </c>
      <c r="C132" s="3">
        <f>0</f>
        <v>0</v>
      </c>
      <c r="D132" s="3">
        <f>0</f>
        <v>0</v>
      </c>
      <c r="E132" s="3">
        <f>(51721+0+0)</f>
        <v>51721</v>
      </c>
      <c r="F132" s="3">
        <f>0</f>
        <v>0</v>
      </c>
      <c r="G132" s="3">
        <f>11829</f>
        <v>11829</v>
      </c>
      <c r="H132" s="3">
        <f>(0+11829)</f>
        <v>11829</v>
      </c>
      <c r="I132" s="3">
        <f>((51721+0+0)-(0+11829))</f>
        <v>39892</v>
      </c>
    </row>
    <row r="133" spans="1:9" ht="14" x14ac:dyDescent="0.3">
      <c r="A133" s="2" t="s">
        <v>19</v>
      </c>
      <c r="B133" s="3">
        <f>2513464</f>
        <v>2513464</v>
      </c>
      <c r="C133" s="3">
        <f>0</f>
        <v>0</v>
      </c>
      <c r="D133" s="3">
        <f>0</f>
        <v>0</v>
      </c>
      <c r="E133" s="3">
        <f>(2513464+0+0)</f>
        <v>2513464</v>
      </c>
      <c r="F133" s="3">
        <f>661</f>
        <v>661</v>
      </c>
      <c r="G133" s="3">
        <f>2427186</f>
        <v>2427186</v>
      </c>
      <c r="H133" s="3">
        <f>(661+2427186)</f>
        <v>2427847</v>
      </c>
      <c r="I133" s="3">
        <f>((2513464+0+0)-(661+2427186))</f>
        <v>85617</v>
      </c>
    </row>
    <row r="134" spans="1:9" ht="14" x14ac:dyDescent="0.3">
      <c r="A134" s="2" t="s">
        <v>20</v>
      </c>
      <c r="B134" s="3">
        <f>1036176</f>
        <v>1036176</v>
      </c>
      <c r="C134" s="3">
        <f>0</f>
        <v>0</v>
      </c>
      <c r="D134" s="3">
        <f>0</f>
        <v>0</v>
      </c>
      <c r="E134" s="3">
        <f>(1036176+0+0)</f>
        <v>1036176</v>
      </c>
      <c r="F134" s="3">
        <f>0</f>
        <v>0</v>
      </c>
      <c r="G134" s="3">
        <f>840048</f>
        <v>840048</v>
      </c>
      <c r="H134" s="3">
        <f>(0+840048)</f>
        <v>840048</v>
      </c>
      <c r="I134" s="3">
        <f>((1036176+0+0)-(0+840048))</f>
        <v>196128</v>
      </c>
    </row>
    <row r="135" spans="1:9" ht="14" x14ac:dyDescent="0.3">
      <c r="A135" s="2" t="s">
        <v>21</v>
      </c>
      <c r="B135" s="3">
        <f>0</f>
        <v>0</v>
      </c>
      <c r="C135" s="3">
        <f>0</f>
        <v>0</v>
      </c>
      <c r="D135" s="3">
        <f>0</f>
        <v>0</v>
      </c>
      <c r="E135" s="3">
        <f>(0+0+0)</f>
        <v>0</v>
      </c>
      <c r="F135" s="3">
        <f>0</f>
        <v>0</v>
      </c>
      <c r="G135" s="3">
        <f>0</f>
        <v>0</v>
      </c>
      <c r="H135" s="3">
        <f>(0+0)</f>
        <v>0</v>
      </c>
      <c r="I135" s="3">
        <f>((0+0+0)-(0+0))</f>
        <v>0</v>
      </c>
    </row>
    <row r="136" spans="1:9" ht="14" x14ac:dyDescent="0.3">
      <c r="A136" s="2" t="s">
        <v>22</v>
      </c>
      <c r="B136" s="3">
        <f>2124684</f>
        <v>2124684</v>
      </c>
      <c r="C136" s="3">
        <f>0</f>
        <v>0</v>
      </c>
      <c r="D136" s="3">
        <f>0</f>
        <v>0</v>
      </c>
      <c r="E136" s="3">
        <f>(2124684+0+0)</f>
        <v>2124684</v>
      </c>
      <c r="F136" s="3">
        <f>18000</f>
        <v>18000</v>
      </c>
      <c r="G136" s="3">
        <f>1953529</f>
        <v>1953529</v>
      </c>
      <c r="H136" s="3">
        <f>(18000+1953529)</f>
        <v>1971529</v>
      </c>
      <c r="I136" s="3">
        <f>((2124684+0+0)-(18000+1953529))</f>
        <v>153155</v>
      </c>
    </row>
    <row r="137" spans="1:9" ht="14" x14ac:dyDescent="0.3">
      <c r="A137" s="2" t="s">
        <v>23</v>
      </c>
      <c r="B137" s="3">
        <f>646219</f>
        <v>646219</v>
      </c>
      <c r="C137" s="3">
        <f>0</f>
        <v>0</v>
      </c>
      <c r="D137" s="3">
        <f>0</f>
        <v>0</v>
      </c>
      <c r="E137" s="3">
        <f>(646219+0+0)</f>
        <v>646219</v>
      </c>
      <c r="F137" s="3">
        <f>0</f>
        <v>0</v>
      </c>
      <c r="G137" s="3">
        <f>567359</f>
        <v>567359</v>
      </c>
      <c r="H137" s="3">
        <f>(0+567359)</f>
        <v>567359</v>
      </c>
      <c r="I137" s="3">
        <f>((646219+0+0)-(0+567359))</f>
        <v>78860</v>
      </c>
    </row>
    <row r="138" spans="1:9" ht="14" x14ac:dyDescent="0.3">
      <c r="A138" s="2" t="s">
        <v>24</v>
      </c>
      <c r="B138" s="3">
        <f>1019399</f>
        <v>1019399</v>
      </c>
      <c r="C138" s="3">
        <f>0</f>
        <v>0</v>
      </c>
      <c r="D138" s="3">
        <f>0</f>
        <v>0</v>
      </c>
      <c r="E138" s="3">
        <f>(1019399+0+0)</f>
        <v>1019399</v>
      </c>
      <c r="F138" s="3">
        <f>0</f>
        <v>0</v>
      </c>
      <c r="G138" s="3">
        <f>842578</f>
        <v>842578</v>
      </c>
      <c r="H138" s="3">
        <f>(0+842578)</f>
        <v>842578</v>
      </c>
      <c r="I138" s="3">
        <f>((1019399+0+0)-(0+842578))</f>
        <v>176821</v>
      </c>
    </row>
    <row r="139" spans="1:9" ht="14" x14ac:dyDescent="0.3">
      <c r="A139" s="2" t="s">
        <v>25</v>
      </c>
      <c r="B139" s="3">
        <f>116322</f>
        <v>116322</v>
      </c>
      <c r="C139" s="3">
        <f>0</f>
        <v>0</v>
      </c>
      <c r="D139" s="3">
        <f>0</f>
        <v>0</v>
      </c>
      <c r="E139" s="3">
        <f>(116322+0+0)</f>
        <v>116322</v>
      </c>
      <c r="F139" s="3">
        <f>0</f>
        <v>0</v>
      </c>
      <c r="G139" s="3">
        <f>9808</f>
        <v>9808</v>
      </c>
      <c r="H139" s="3">
        <f>(0+9808)</f>
        <v>9808</v>
      </c>
      <c r="I139" s="3">
        <f>((116322+0+0)-(0+9808))</f>
        <v>106514</v>
      </c>
    </row>
    <row r="140" spans="1:9" ht="14" x14ac:dyDescent="0.3">
      <c r="A140" s="2" t="s">
        <v>26</v>
      </c>
      <c r="B140" s="3">
        <f>651891</f>
        <v>651891</v>
      </c>
      <c r="C140" s="3">
        <f>0</f>
        <v>0</v>
      </c>
      <c r="D140" s="3">
        <f>0</f>
        <v>0</v>
      </c>
      <c r="E140" s="3">
        <f>(651891+0+0)</f>
        <v>651891</v>
      </c>
      <c r="F140" s="3">
        <f>0</f>
        <v>0</v>
      </c>
      <c r="G140" s="3">
        <f>116387</f>
        <v>116387</v>
      </c>
      <c r="H140" s="3">
        <f>(0+116387)</f>
        <v>116387</v>
      </c>
      <c r="I140" s="3">
        <f>((651891+0+0)-(0+116387))</f>
        <v>535504</v>
      </c>
    </row>
    <row r="141" spans="1:9" ht="14" x14ac:dyDescent="0.3">
      <c r="A141" s="5" t="s">
        <v>33</v>
      </c>
      <c r="B141" s="5"/>
      <c r="C141" s="5"/>
      <c r="D141" s="5"/>
      <c r="E141" s="5"/>
      <c r="F141" s="5"/>
      <c r="G141" s="5"/>
      <c r="H141" s="5"/>
      <c r="I141" s="5"/>
    </row>
    <row r="142" spans="1:9" ht="14" x14ac:dyDescent="0.3">
      <c r="A142" s="4" t="s">
        <v>1</v>
      </c>
      <c r="B142" s="1" t="s">
        <v>2</v>
      </c>
      <c r="C142" s="1" t="s">
        <v>3</v>
      </c>
      <c r="D142" s="1" t="s">
        <v>4</v>
      </c>
      <c r="E142" s="1" t="s">
        <v>5</v>
      </c>
      <c r="F142" s="1" t="s">
        <v>6</v>
      </c>
      <c r="G142" s="1" t="s">
        <v>7</v>
      </c>
      <c r="H142" s="1" t="s">
        <v>8</v>
      </c>
      <c r="I142" s="1" t="s">
        <v>9</v>
      </c>
    </row>
    <row r="143" spans="1:9" ht="14" x14ac:dyDescent="0.3">
      <c r="A143" s="4"/>
      <c r="B143" s="1">
        <v>2023</v>
      </c>
      <c r="C143" s="1">
        <v>2023</v>
      </c>
      <c r="D143" s="1">
        <v>2023</v>
      </c>
      <c r="E143" s="1">
        <v>2023</v>
      </c>
      <c r="F143" s="1">
        <v>2023</v>
      </c>
      <c r="G143" s="1">
        <v>2023</v>
      </c>
      <c r="H143" s="1">
        <v>2023</v>
      </c>
      <c r="I143" s="1">
        <v>2023</v>
      </c>
    </row>
    <row r="144" spans="1:9" ht="14" x14ac:dyDescent="0.3">
      <c r="A144" s="2" t="s">
        <v>10</v>
      </c>
      <c r="B144" s="3">
        <f>1634989</f>
        <v>1634989</v>
      </c>
      <c r="C144" s="3">
        <f>0</f>
        <v>0</v>
      </c>
      <c r="D144" s="3">
        <f>0</f>
        <v>0</v>
      </c>
      <c r="E144" s="3">
        <f>(1634989+0+0)</f>
        <v>1634989</v>
      </c>
      <c r="F144" s="3">
        <f>52327</f>
        <v>52327</v>
      </c>
      <c r="G144" s="3">
        <f>1082391</f>
        <v>1082391</v>
      </c>
      <c r="H144" s="3">
        <f>(52327+1082391)</f>
        <v>1134718</v>
      </c>
      <c r="I144" s="3">
        <f>((1634989+0+0)-(52327+1082391))</f>
        <v>500271</v>
      </c>
    </row>
    <row r="145" spans="1:9" ht="14" x14ac:dyDescent="0.3">
      <c r="A145" s="2" t="s">
        <v>11</v>
      </c>
      <c r="B145" s="3">
        <f>0</f>
        <v>0</v>
      </c>
      <c r="C145" s="3">
        <f>0</f>
        <v>0</v>
      </c>
      <c r="D145" s="3">
        <f>0</f>
        <v>0</v>
      </c>
      <c r="E145" s="3">
        <f>(0+0+0)</f>
        <v>0</v>
      </c>
      <c r="F145" s="3">
        <f>0</f>
        <v>0</v>
      </c>
      <c r="G145" s="3">
        <f>0</f>
        <v>0</v>
      </c>
      <c r="H145" s="3">
        <f>(0+0)</f>
        <v>0</v>
      </c>
      <c r="I145" s="3">
        <f>((0+0+0)-(0+0))</f>
        <v>0</v>
      </c>
    </row>
    <row r="146" spans="1:9" ht="14" x14ac:dyDescent="0.3">
      <c r="A146" s="2" t="s">
        <v>12</v>
      </c>
      <c r="B146" s="3">
        <f>399589</f>
        <v>399589</v>
      </c>
      <c r="C146" s="3">
        <f>30380</f>
        <v>30380</v>
      </c>
      <c r="D146" s="3">
        <f>0</f>
        <v>0</v>
      </c>
      <c r="E146" s="3">
        <f>(399589+30380+0)</f>
        <v>429969</v>
      </c>
      <c r="F146" s="3">
        <f>37007</f>
        <v>37007</v>
      </c>
      <c r="G146" s="3">
        <f>341576</f>
        <v>341576</v>
      </c>
      <c r="H146" s="3">
        <f>(37007+341576)</f>
        <v>378583</v>
      </c>
      <c r="I146" s="3">
        <f>((399589+30380+0)-(37007+341576))</f>
        <v>51386</v>
      </c>
    </row>
    <row r="147" spans="1:9" ht="14" x14ac:dyDescent="0.3">
      <c r="A147" s="2" t="s">
        <v>13</v>
      </c>
      <c r="B147" s="3">
        <f>1607667</f>
        <v>1607667</v>
      </c>
      <c r="C147" s="3">
        <f>78083</f>
        <v>78083</v>
      </c>
      <c r="D147" s="3">
        <f>0</f>
        <v>0</v>
      </c>
      <c r="E147" s="3">
        <f>(1607667+78083+0)</f>
        <v>1685750</v>
      </c>
      <c r="F147" s="3">
        <f>60405</f>
        <v>60405</v>
      </c>
      <c r="G147" s="3">
        <f>727757</f>
        <v>727757</v>
      </c>
      <c r="H147" s="3">
        <f>(60405+727757)</f>
        <v>788162</v>
      </c>
      <c r="I147" s="3">
        <f>((1607667+78083+0)-(60405+727757))</f>
        <v>897588</v>
      </c>
    </row>
    <row r="148" spans="1:9" ht="14" x14ac:dyDescent="0.3">
      <c r="A148" s="2" t="s">
        <v>14</v>
      </c>
      <c r="B148" s="3">
        <f>649954</f>
        <v>649954</v>
      </c>
      <c r="C148" s="3">
        <f>0</f>
        <v>0</v>
      </c>
      <c r="D148" s="3">
        <f>0</f>
        <v>0</v>
      </c>
      <c r="E148" s="3">
        <f>(649954+0+0)</f>
        <v>649954</v>
      </c>
      <c r="F148" s="3">
        <f>197767</f>
        <v>197767</v>
      </c>
      <c r="G148" s="3">
        <f>302307</f>
        <v>302307</v>
      </c>
      <c r="H148" s="3">
        <f>(197767+302307)</f>
        <v>500074</v>
      </c>
      <c r="I148" s="3">
        <f>((649954+0+0)-(197767+302307))</f>
        <v>149880</v>
      </c>
    </row>
    <row r="149" spans="1:9" ht="14" x14ac:dyDescent="0.3">
      <c r="A149" s="2" t="s">
        <v>15</v>
      </c>
      <c r="B149" s="3">
        <f>6762768</f>
        <v>6762768</v>
      </c>
      <c r="C149" s="3">
        <f>55765</f>
        <v>55765</v>
      </c>
      <c r="D149" s="3">
        <f>15660</f>
        <v>15660</v>
      </c>
      <c r="E149" s="3">
        <f>(6762768+55765+15660)</f>
        <v>6834193</v>
      </c>
      <c r="F149" s="3">
        <f>332101</f>
        <v>332101</v>
      </c>
      <c r="G149" s="3">
        <f>5685681</f>
        <v>5685681</v>
      </c>
      <c r="H149" s="3">
        <f>(332101+5685681)</f>
        <v>6017782</v>
      </c>
      <c r="I149" s="3">
        <f>((6762768+55765+15660)-(332101+5685681))</f>
        <v>816411</v>
      </c>
    </row>
    <row r="150" spans="1:9" ht="14" x14ac:dyDescent="0.3">
      <c r="A150" s="2" t="s">
        <v>16</v>
      </c>
      <c r="B150" s="3">
        <f>305689</f>
        <v>305689</v>
      </c>
      <c r="C150" s="3">
        <f>0</f>
        <v>0</v>
      </c>
      <c r="D150" s="3">
        <f>0</f>
        <v>0</v>
      </c>
      <c r="E150" s="3">
        <f>(305689+0+0)</f>
        <v>305689</v>
      </c>
      <c r="F150" s="3">
        <f>30122</f>
        <v>30122</v>
      </c>
      <c r="G150" s="3">
        <f>262759</f>
        <v>262759</v>
      </c>
      <c r="H150" s="3">
        <f>(30122+262759)</f>
        <v>292881</v>
      </c>
      <c r="I150" s="3">
        <f>((305689+0+0)-(30122+262759))</f>
        <v>12808</v>
      </c>
    </row>
    <row r="151" spans="1:9" ht="14" x14ac:dyDescent="0.3">
      <c r="A151" s="2" t="s">
        <v>17</v>
      </c>
      <c r="B151" s="3">
        <f>12915</f>
        <v>12915</v>
      </c>
      <c r="C151" s="3">
        <f>17856</f>
        <v>17856</v>
      </c>
      <c r="D151" s="3">
        <f>0</f>
        <v>0</v>
      </c>
      <c r="E151" s="3">
        <f>(12915+17856+0)</f>
        <v>30771</v>
      </c>
      <c r="F151" s="3">
        <f>0</f>
        <v>0</v>
      </c>
      <c r="G151" s="3">
        <f>2318</f>
        <v>2318</v>
      </c>
      <c r="H151" s="3">
        <f>(0+2318)</f>
        <v>2318</v>
      </c>
      <c r="I151" s="3">
        <f>((12915+17856+0)-(0+2318))</f>
        <v>28453</v>
      </c>
    </row>
    <row r="152" spans="1:9" ht="14" x14ac:dyDescent="0.3">
      <c r="A152" s="2" t="s">
        <v>18</v>
      </c>
      <c r="B152" s="3">
        <f>41248</f>
        <v>41248</v>
      </c>
      <c r="C152" s="3">
        <f>24338</f>
        <v>24338</v>
      </c>
      <c r="D152" s="3">
        <f>0</f>
        <v>0</v>
      </c>
      <c r="E152" s="3">
        <f>(41248+24338+0)</f>
        <v>65586</v>
      </c>
      <c r="F152" s="3">
        <f>9062</f>
        <v>9062</v>
      </c>
      <c r="G152" s="3">
        <f>46449</f>
        <v>46449</v>
      </c>
      <c r="H152" s="3">
        <f>(9062+46449)</f>
        <v>55511</v>
      </c>
      <c r="I152" s="3">
        <f>((41248+24338+0)-(9062+46449))</f>
        <v>10075</v>
      </c>
    </row>
    <row r="153" spans="1:9" ht="14" x14ac:dyDescent="0.3">
      <c r="A153" s="2" t="s">
        <v>19</v>
      </c>
      <c r="B153" s="3">
        <f>982106</f>
        <v>982106</v>
      </c>
      <c r="C153" s="3">
        <f>4499</f>
        <v>4499</v>
      </c>
      <c r="D153" s="3">
        <f>0</f>
        <v>0</v>
      </c>
      <c r="E153" s="3">
        <f>(982106+4499+0)</f>
        <v>986605</v>
      </c>
      <c r="F153" s="3">
        <f>16904</f>
        <v>16904</v>
      </c>
      <c r="G153" s="3">
        <f>909514</f>
        <v>909514</v>
      </c>
      <c r="H153" s="3">
        <f>(16904+909514)</f>
        <v>926418</v>
      </c>
      <c r="I153" s="3">
        <f>((982106+4499+0)-(16904+909514))</f>
        <v>60187</v>
      </c>
    </row>
    <row r="154" spans="1:9" ht="14" x14ac:dyDescent="0.3">
      <c r="A154" s="2" t="s">
        <v>20</v>
      </c>
      <c r="B154" s="3">
        <f>711560</f>
        <v>711560</v>
      </c>
      <c r="C154" s="3">
        <f>5318</f>
        <v>5318</v>
      </c>
      <c r="D154" s="3">
        <f>0</f>
        <v>0</v>
      </c>
      <c r="E154" s="3">
        <f>(711560+5318+0)</f>
        <v>716878</v>
      </c>
      <c r="F154" s="3">
        <f>71507</f>
        <v>71507</v>
      </c>
      <c r="G154" s="3">
        <f>514989</f>
        <v>514989</v>
      </c>
      <c r="H154" s="3">
        <f>(71507+514989)</f>
        <v>586496</v>
      </c>
      <c r="I154" s="3">
        <f>((711560+5318+0)-(71507+514989))</f>
        <v>130382</v>
      </c>
    </row>
    <row r="155" spans="1:9" ht="14" x14ac:dyDescent="0.3">
      <c r="A155" s="2" t="s">
        <v>21</v>
      </c>
      <c r="B155" s="3">
        <f>0</f>
        <v>0</v>
      </c>
      <c r="C155" s="3">
        <f>0</f>
        <v>0</v>
      </c>
      <c r="D155" s="3">
        <f>0</f>
        <v>0</v>
      </c>
      <c r="E155" s="3">
        <f>(0+0+0)</f>
        <v>0</v>
      </c>
      <c r="F155" s="3">
        <f>0</f>
        <v>0</v>
      </c>
      <c r="G155" s="3">
        <f>0</f>
        <v>0</v>
      </c>
      <c r="H155" s="3">
        <f>(0+0)</f>
        <v>0</v>
      </c>
      <c r="I155" s="3">
        <f>((0+0+0)-(0+0))</f>
        <v>0</v>
      </c>
    </row>
    <row r="156" spans="1:9" ht="14" x14ac:dyDescent="0.3">
      <c r="A156" s="2" t="s">
        <v>22</v>
      </c>
      <c r="B156" s="3">
        <f>2211768</f>
        <v>2211768</v>
      </c>
      <c r="C156" s="3">
        <f>82100</f>
        <v>82100</v>
      </c>
      <c r="D156" s="3">
        <f>0</f>
        <v>0</v>
      </c>
      <c r="E156" s="3">
        <f>(2211768+82100+0)</f>
        <v>2293868</v>
      </c>
      <c r="F156" s="3">
        <f>69525</f>
        <v>69525</v>
      </c>
      <c r="G156" s="3">
        <f>1940029</f>
        <v>1940029</v>
      </c>
      <c r="H156" s="3">
        <f>(69525+1940029)</f>
        <v>2009554</v>
      </c>
      <c r="I156" s="3">
        <f>((2211768+82100+0)-(69525+1940029))</f>
        <v>284314</v>
      </c>
    </row>
    <row r="157" spans="1:9" ht="14" x14ac:dyDescent="0.3">
      <c r="A157" s="2" t="s">
        <v>23</v>
      </c>
      <c r="B157" s="3">
        <f>508383</f>
        <v>508383</v>
      </c>
      <c r="C157" s="3">
        <f>158221</f>
        <v>158221</v>
      </c>
      <c r="D157" s="3">
        <f>0</f>
        <v>0</v>
      </c>
      <c r="E157" s="3">
        <f>(508383+158221+0)</f>
        <v>666604</v>
      </c>
      <c r="F157" s="3">
        <f>0</f>
        <v>0</v>
      </c>
      <c r="G157" s="3">
        <f>506095</f>
        <v>506095</v>
      </c>
      <c r="H157" s="3">
        <f>(0+506095)</f>
        <v>506095</v>
      </c>
      <c r="I157" s="3">
        <f>((508383+158221+0)-(0+506095))</f>
        <v>160509</v>
      </c>
    </row>
    <row r="158" spans="1:9" ht="14" x14ac:dyDescent="0.3">
      <c r="A158" s="2" t="s">
        <v>24</v>
      </c>
      <c r="B158" s="3">
        <f>1461276</f>
        <v>1461276</v>
      </c>
      <c r="C158" s="3">
        <f>0</f>
        <v>0</v>
      </c>
      <c r="D158" s="3">
        <f>0</f>
        <v>0</v>
      </c>
      <c r="E158" s="3">
        <f>(1461276+0+0)</f>
        <v>1461276</v>
      </c>
      <c r="F158" s="3">
        <f>5525</f>
        <v>5525</v>
      </c>
      <c r="G158" s="3">
        <f>1371314</f>
        <v>1371314</v>
      </c>
      <c r="H158" s="3">
        <f>(5525+1371314)</f>
        <v>1376839</v>
      </c>
      <c r="I158" s="3">
        <f>((1461276+0+0)-(5525+1371314))</f>
        <v>84437</v>
      </c>
    </row>
    <row r="159" spans="1:9" ht="14" x14ac:dyDescent="0.3">
      <c r="A159" s="2" t="s">
        <v>25</v>
      </c>
      <c r="B159" s="3">
        <f>466141</f>
        <v>466141</v>
      </c>
      <c r="C159" s="3">
        <f>141215</f>
        <v>141215</v>
      </c>
      <c r="D159" s="3">
        <f>0</f>
        <v>0</v>
      </c>
      <c r="E159" s="3">
        <f>(466141+141215+0)</f>
        <v>607356</v>
      </c>
      <c r="F159" s="3">
        <f>19958</f>
        <v>19958</v>
      </c>
      <c r="G159" s="3">
        <f>200256</f>
        <v>200256</v>
      </c>
      <c r="H159" s="3">
        <f>(19958+200256)</f>
        <v>220214</v>
      </c>
      <c r="I159" s="3">
        <f>((466141+141215+0)-(19958+200256))</f>
        <v>387142</v>
      </c>
    </row>
    <row r="160" spans="1:9" ht="14" x14ac:dyDescent="0.3">
      <c r="A160" s="2" t="s">
        <v>26</v>
      </c>
      <c r="B160" s="3">
        <f>1060273</f>
        <v>1060273</v>
      </c>
      <c r="C160" s="3">
        <f>47743</f>
        <v>47743</v>
      </c>
      <c r="D160" s="3">
        <f>0</f>
        <v>0</v>
      </c>
      <c r="E160" s="3">
        <f>(1060273+47743+0)</f>
        <v>1108016</v>
      </c>
      <c r="F160" s="3">
        <f>0</f>
        <v>0</v>
      </c>
      <c r="G160" s="3">
        <f>581773</f>
        <v>581773</v>
      </c>
      <c r="H160" s="3">
        <f>(0+581773)</f>
        <v>581773</v>
      </c>
      <c r="I160" s="3">
        <f>((1060273+47743+0)-(0+581773))</f>
        <v>526243</v>
      </c>
    </row>
    <row r="161" spans="1:9" ht="14" x14ac:dyDescent="0.3">
      <c r="A161" s="5" t="s">
        <v>34</v>
      </c>
      <c r="B161" s="5"/>
      <c r="C161" s="5"/>
      <c r="D161" s="5"/>
      <c r="E161" s="5"/>
      <c r="F161" s="5"/>
      <c r="G161" s="5"/>
      <c r="H161" s="5"/>
      <c r="I161" s="5"/>
    </row>
    <row r="162" spans="1:9" ht="14" x14ac:dyDescent="0.3">
      <c r="A162" s="4" t="s">
        <v>1</v>
      </c>
      <c r="B162" s="1" t="s">
        <v>2</v>
      </c>
      <c r="C162" s="1" t="s">
        <v>3</v>
      </c>
      <c r="D162" s="1" t="s">
        <v>4</v>
      </c>
      <c r="E162" s="1" t="s">
        <v>5</v>
      </c>
      <c r="F162" s="1" t="s">
        <v>6</v>
      </c>
      <c r="G162" s="1" t="s">
        <v>7</v>
      </c>
      <c r="H162" s="1" t="s">
        <v>8</v>
      </c>
      <c r="I162" s="1" t="s">
        <v>9</v>
      </c>
    </row>
    <row r="163" spans="1:9" ht="14" x14ac:dyDescent="0.3">
      <c r="A163" s="4"/>
      <c r="B163" s="1">
        <v>2023</v>
      </c>
      <c r="C163" s="1">
        <v>2023</v>
      </c>
      <c r="D163" s="1">
        <v>2023</v>
      </c>
      <c r="E163" s="1">
        <v>2023</v>
      </c>
      <c r="F163" s="1">
        <v>2023</v>
      </c>
      <c r="G163" s="1">
        <v>2023</v>
      </c>
      <c r="H163" s="1">
        <v>2023</v>
      </c>
      <c r="I163" s="1">
        <v>2023</v>
      </c>
    </row>
    <row r="164" spans="1:9" ht="14" x14ac:dyDescent="0.3">
      <c r="A164" s="2" t="s">
        <v>10</v>
      </c>
      <c r="B164" s="3">
        <f>5273162</f>
        <v>5273162</v>
      </c>
      <c r="C164" s="3">
        <f>0</f>
        <v>0</v>
      </c>
      <c r="D164" s="3">
        <f>0</f>
        <v>0</v>
      </c>
      <c r="E164" s="3">
        <f>(5273162+0+0)</f>
        <v>5273162</v>
      </c>
      <c r="F164" s="3">
        <f>0</f>
        <v>0</v>
      </c>
      <c r="G164" s="3">
        <f>1434178</f>
        <v>1434178</v>
      </c>
      <c r="H164" s="3">
        <f>(0+1434178)</f>
        <v>1434178</v>
      </c>
      <c r="I164" s="3">
        <f>((5273162+0+0)-(0+1434178))</f>
        <v>3838984</v>
      </c>
    </row>
    <row r="165" spans="1:9" ht="14" x14ac:dyDescent="0.3">
      <c r="A165" s="2" t="s">
        <v>11</v>
      </c>
      <c r="B165" s="3">
        <f>4240321</f>
        <v>4240321</v>
      </c>
      <c r="C165" s="3">
        <f>0</f>
        <v>0</v>
      </c>
      <c r="D165" s="3">
        <f>0</f>
        <v>0</v>
      </c>
      <c r="E165" s="3">
        <f>(4240321+0+0)</f>
        <v>4240321</v>
      </c>
      <c r="F165" s="3">
        <f>0</f>
        <v>0</v>
      </c>
      <c r="G165" s="3">
        <f>2428329</f>
        <v>2428329</v>
      </c>
      <c r="H165" s="3">
        <f>(0+2428329)</f>
        <v>2428329</v>
      </c>
      <c r="I165" s="3">
        <f>((4240321+0+0)-(0+2428329))</f>
        <v>1811992</v>
      </c>
    </row>
    <row r="166" spans="1:9" ht="14" x14ac:dyDescent="0.3">
      <c r="A166" s="2" t="s">
        <v>12</v>
      </c>
      <c r="B166" s="3">
        <f>2564862</f>
        <v>2564862</v>
      </c>
      <c r="C166" s="3">
        <f>0</f>
        <v>0</v>
      </c>
      <c r="D166" s="3">
        <f>0</f>
        <v>0</v>
      </c>
      <c r="E166" s="3">
        <f>(2564862+0+0)</f>
        <v>2564862</v>
      </c>
      <c r="F166" s="3">
        <f>0</f>
        <v>0</v>
      </c>
      <c r="G166" s="3">
        <f>1416927</f>
        <v>1416927</v>
      </c>
      <c r="H166" s="3">
        <f>(0+1416927)</f>
        <v>1416927</v>
      </c>
      <c r="I166" s="3">
        <f>((2564862+0+0)-(0+1416927))</f>
        <v>1147935</v>
      </c>
    </row>
    <row r="167" spans="1:9" ht="14" x14ac:dyDescent="0.3">
      <c r="A167" s="2" t="s">
        <v>13</v>
      </c>
      <c r="B167" s="3">
        <f>1716509</f>
        <v>1716509</v>
      </c>
      <c r="C167" s="3">
        <f>323008</f>
        <v>323008</v>
      </c>
      <c r="D167" s="3">
        <f>0</f>
        <v>0</v>
      </c>
      <c r="E167" s="3">
        <f>(1716509+323008+0)</f>
        <v>2039517</v>
      </c>
      <c r="F167" s="3">
        <f>0</f>
        <v>0</v>
      </c>
      <c r="G167" s="3">
        <f>0</f>
        <v>0</v>
      </c>
      <c r="H167" s="3">
        <f>(0+0)</f>
        <v>0</v>
      </c>
      <c r="I167" s="3">
        <f>((1716509+323008+0)-(0+0))</f>
        <v>2039517</v>
      </c>
    </row>
    <row r="168" spans="1:9" ht="14" x14ac:dyDescent="0.3">
      <c r="A168" s="2" t="s">
        <v>14</v>
      </c>
      <c r="B168" s="3">
        <f>160701726</f>
        <v>160701726</v>
      </c>
      <c r="C168" s="3">
        <f>0</f>
        <v>0</v>
      </c>
      <c r="D168" s="3">
        <f>0</f>
        <v>0</v>
      </c>
      <c r="E168" s="3">
        <f>(160701726+0+0)</f>
        <v>160701726</v>
      </c>
      <c r="F168" s="3">
        <f>0</f>
        <v>0</v>
      </c>
      <c r="G168" s="3">
        <f>29276375</f>
        <v>29276375</v>
      </c>
      <c r="H168" s="3">
        <f>(0+29276375)</f>
        <v>29276375</v>
      </c>
      <c r="I168" s="3">
        <f>((160701726+0+0)-(0+29276375))</f>
        <v>131425351</v>
      </c>
    </row>
    <row r="169" spans="1:9" ht="14" x14ac:dyDescent="0.3">
      <c r="A169" s="2" t="s">
        <v>15</v>
      </c>
      <c r="B169" s="3">
        <f>15183027</f>
        <v>15183027</v>
      </c>
      <c r="C169" s="3">
        <f>0</f>
        <v>0</v>
      </c>
      <c r="D169" s="3">
        <f>0</f>
        <v>0</v>
      </c>
      <c r="E169" s="3">
        <f>(15183027+0+0)</f>
        <v>15183027</v>
      </c>
      <c r="F169" s="3">
        <f>0</f>
        <v>0</v>
      </c>
      <c r="G169" s="3">
        <f>4596831</f>
        <v>4596831</v>
      </c>
      <c r="H169" s="3">
        <f>(0+4596831)</f>
        <v>4596831</v>
      </c>
      <c r="I169" s="3">
        <f>((15183027+0+0)-(0+4596831))</f>
        <v>10586196</v>
      </c>
    </row>
    <row r="170" spans="1:9" ht="14" x14ac:dyDescent="0.3">
      <c r="A170" s="2" t="s">
        <v>16</v>
      </c>
      <c r="B170" s="3">
        <f>6460519</f>
        <v>6460519</v>
      </c>
      <c r="C170" s="3">
        <f>0</f>
        <v>0</v>
      </c>
      <c r="D170" s="3">
        <f>0</f>
        <v>0</v>
      </c>
      <c r="E170" s="3">
        <f>(6460519+0+0)</f>
        <v>6460519</v>
      </c>
      <c r="F170" s="3">
        <f>116824</f>
        <v>116824</v>
      </c>
      <c r="G170" s="3">
        <f>1810887</f>
        <v>1810887</v>
      </c>
      <c r="H170" s="3">
        <f>(116824+1810887)</f>
        <v>1927711</v>
      </c>
      <c r="I170" s="3">
        <f>((6460519+0+0)-(116824+1810887))</f>
        <v>4532808</v>
      </c>
    </row>
    <row r="171" spans="1:9" ht="14" x14ac:dyDescent="0.3">
      <c r="A171" s="2" t="s">
        <v>17</v>
      </c>
      <c r="B171" s="3">
        <f>0</f>
        <v>0</v>
      </c>
      <c r="C171" s="3">
        <f>0</f>
        <v>0</v>
      </c>
      <c r="D171" s="3">
        <f>0</f>
        <v>0</v>
      </c>
      <c r="E171" s="3">
        <f>(0+0+0)</f>
        <v>0</v>
      </c>
      <c r="F171" s="3">
        <f>0</f>
        <v>0</v>
      </c>
      <c r="G171" s="3">
        <f>0</f>
        <v>0</v>
      </c>
      <c r="H171" s="3">
        <f>(0+0)</f>
        <v>0</v>
      </c>
      <c r="I171" s="3">
        <f>((0+0+0)-(0+0))</f>
        <v>0</v>
      </c>
    </row>
    <row r="172" spans="1:9" ht="14" x14ac:dyDescent="0.3">
      <c r="A172" s="2" t="s">
        <v>18</v>
      </c>
      <c r="B172" s="3">
        <f>805122</f>
        <v>805122</v>
      </c>
      <c r="C172" s="3">
        <f>0</f>
        <v>0</v>
      </c>
      <c r="D172" s="3">
        <f>0</f>
        <v>0</v>
      </c>
      <c r="E172" s="3">
        <f>(805122+0+0)</f>
        <v>805122</v>
      </c>
      <c r="F172" s="3">
        <f>0</f>
        <v>0</v>
      </c>
      <c r="G172" s="3">
        <f>15962</f>
        <v>15962</v>
      </c>
      <c r="H172" s="3">
        <f>(0+15962)</f>
        <v>15962</v>
      </c>
      <c r="I172" s="3">
        <f>((805122+0+0)-(0+15962))</f>
        <v>789160</v>
      </c>
    </row>
    <row r="173" spans="1:9" ht="14" x14ac:dyDescent="0.3">
      <c r="A173" s="2" t="s">
        <v>19</v>
      </c>
      <c r="B173" s="3">
        <f>2512935</f>
        <v>2512935</v>
      </c>
      <c r="C173" s="3">
        <f>0</f>
        <v>0</v>
      </c>
      <c r="D173" s="3">
        <f>0</f>
        <v>0</v>
      </c>
      <c r="E173" s="3">
        <f>(2512935+0+0)</f>
        <v>2512935</v>
      </c>
      <c r="F173" s="3">
        <f>0</f>
        <v>0</v>
      </c>
      <c r="G173" s="3">
        <f>2019003</f>
        <v>2019003</v>
      </c>
      <c r="H173" s="3">
        <f>(0+2019003)</f>
        <v>2019003</v>
      </c>
      <c r="I173" s="3">
        <f>((2512935+0+0)-(0+2019003))</f>
        <v>493932</v>
      </c>
    </row>
    <row r="174" spans="1:9" ht="14" x14ac:dyDescent="0.3">
      <c r="A174" s="2" t="s">
        <v>20</v>
      </c>
      <c r="B174" s="3">
        <f>1863434</f>
        <v>1863434</v>
      </c>
      <c r="C174" s="3">
        <f>0</f>
        <v>0</v>
      </c>
      <c r="D174" s="3">
        <f>0</f>
        <v>0</v>
      </c>
      <c r="E174" s="3">
        <f>(1863434+0+0)</f>
        <v>1863434</v>
      </c>
      <c r="F174" s="3">
        <f>0</f>
        <v>0</v>
      </c>
      <c r="G174" s="3">
        <f>1241791</f>
        <v>1241791</v>
      </c>
      <c r="H174" s="3">
        <f>(0+1241791)</f>
        <v>1241791</v>
      </c>
      <c r="I174" s="3">
        <f>((1863434+0+0)-(0+1241791))</f>
        <v>621643</v>
      </c>
    </row>
    <row r="175" spans="1:9" ht="14" x14ac:dyDescent="0.3">
      <c r="A175" s="2" t="s">
        <v>21</v>
      </c>
      <c r="B175" s="3">
        <f>5058467</f>
        <v>5058467</v>
      </c>
      <c r="C175" s="3">
        <f>0</f>
        <v>0</v>
      </c>
      <c r="D175" s="3">
        <f>0</f>
        <v>0</v>
      </c>
      <c r="E175" s="3">
        <f>(5058467+0+0)</f>
        <v>5058467</v>
      </c>
      <c r="F175" s="3">
        <f>0</f>
        <v>0</v>
      </c>
      <c r="G175" s="3">
        <f>165677</f>
        <v>165677</v>
      </c>
      <c r="H175" s="3">
        <f>(0+165677)</f>
        <v>165677</v>
      </c>
      <c r="I175" s="3">
        <f>((5058467+0+0)-(0+165677))</f>
        <v>4892790</v>
      </c>
    </row>
    <row r="176" spans="1:9" ht="14" x14ac:dyDescent="0.3">
      <c r="A176" s="2" t="s">
        <v>22</v>
      </c>
      <c r="B176" s="3">
        <f>4295006</f>
        <v>4295006</v>
      </c>
      <c r="C176" s="3">
        <f>0</f>
        <v>0</v>
      </c>
      <c r="D176" s="3">
        <f>0</f>
        <v>0</v>
      </c>
      <c r="E176" s="3">
        <f>(4295006+0+0)</f>
        <v>4295006</v>
      </c>
      <c r="F176" s="3">
        <f>0</f>
        <v>0</v>
      </c>
      <c r="G176" s="3">
        <f>1796440</f>
        <v>1796440</v>
      </c>
      <c r="H176" s="3">
        <f>(0+1796440)</f>
        <v>1796440</v>
      </c>
      <c r="I176" s="3">
        <f>((4295006+0+0)-(0+1796440))</f>
        <v>2498566</v>
      </c>
    </row>
    <row r="177" spans="1:9" ht="14" x14ac:dyDescent="0.3">
      <c r="A177" s="2" t="s">
        <v>23</v>
      </c>
      <c r="B177" s="3">
        <f>1917916</f>
        <v>1917916</v>
      </c>
      <c r="C177" s="3">
        <f>0</f>
        <v>0</v>
      </c>
      <c r="D177" s="3">
        <f>0</f>
        <v>0</v>
      </c>
      <c r="E177" s="3">
        <f>(1917916+0+0)</f>
        <v>1917916</v>
      </c>
      <c r="F177" s="3">
        <f>0</f>
        <v>0</v>
      </c>
      <c r="G177" s="3">
        <f>261549</f>
        <v>261549</v>
      </c>
      <c r="H177" s="3">
        <f>(0+261549)</f>
        <v>261549</v>
      </c>
      <c r="I177" s="3">
        <f>((1917916+0+0)-(0+261549))</f>
        <v>1656367</v>
      </c>
    </row>
    <row r="178" spans="1:9" ht="14" x14ac:dyDescent="0.3">
      <c r="A178" s="2" t="s">
        <v>24</v>
      </c>
      <c r="B178" s="3">
        <f>3413907</f>
        <v>3413907</v>
      </c>
      <c r="C178" s="3">
        <f>0</f>
        <v>0</v>
      </c>
      <c r="D178" s="3">
        <f>0</f>
        <v>0</v>
      </c>
      <c r="E178" s="3">
        <f>(3413907+0+0)</f>
        <v>3413907</v>
      </c>
      <c r="F178" s="3">
        <f>0</f>
        <v>0</v>
      </c>
      <c r="G178" s="3">
        <f>2542775</f>
        <v>2542775</v>
      </c>
      <c r="H178" s="3">
        <f>(0+2542775)</f>
        <v>2542775</v>
      </c>
      <c r="I178" s="3">
        <f>((3413907+0+0)-(0+2542775))</f>
        <v>871132</v>
      </c>
    </row>
    <row r="179" spans="1:9" ht="14" x14ac:dyDescent="0.3">
      <c r="A179" s="2" t="s">
        <v>25</v>
      </c>
      <c r="B179" s="3">
        <f>(-7972035)</f>
        <v>-7972035</v>
      </c>
      <c r="C179" s="3">
        <f>0</f>
        <v>0</v>
      </c>
      <c r="D179" s="3">
        <f>0</f>
        <v>0</v>
      </c>
      <c r="E179" s="3">
        <f>((-7972035)+0+0)</f>
        <v>-7972035</v>
      </c>
      <c r="F179" s="3">
        <f>0</f>
        <v>0</v>
      </c>
      <c r="G179" s="3">
        <f>0</f>
        <v>0</v>
      </c>
      <c r="H179" s="3">
        <f>(0+0)</f>
        <v>0</v>
      </c>
      <c r="I179" s="3">
        <f>(((-7972035)+0+0)-(0+0))</f>
        <v>-7972035</v>
      </c>
    </row>
    <row r="180" spans="1:9" ht="14" x14ac:dyDescent="0.3">
      <c r="A180" s="2" t="s">
        <v>26</v>
      </c>
      <c r="B180" s="3">
        <f>3489937</f>
        <v>3489937</v>
      </c>
      <c r="C180" s="3">
        <f>0</f>
        <v>0</v>
      </c>
      <c r="D180" s="3">
        <f>0</f>
        <v>0</v>
      </c>
      <c r="E180" s="3">
        <f>(3489937+0+0)</f>
        <v>3489937</v>
      </c>
      <c r="F180" s="3">
        <f>0</f>
        <v>0</v>
      </c>
      <c r="G180" s="3">
        <f>376975</f>
        <v>376975</v>
      </c>
      <c r="H180" s="3">
        <f>(0+376975)</f>
        <v>376975</v>
      </c>
      <c r="I180" s="3">
        <f>((3489937+0+0)-(0+376975))</f>
        <v>3112962</v>
      </c>
    </row>
    <row r="181" spans="1:9" ht="14" x14ac:dyDescent="0.3">
      <c r="A181" s="5" t="s">
        <v>35</v>
      </c>
      <c r="B181" s="5"/>
      <c r="C181" s="5"/>
      <c r="D181" s="5"/>
      <c r="E181" s="5"/>
      <c r="F181" s="5"/>
      <c r="G181" s="5"/>
      <c r="H181" s="5"/>
      <c r="I181" s="5"/>
    </row>
    <row r="182" spans="1:9" ht="14" x14ac:dyDescent="0.3">
      <c r="A182" s="4" t="s">
        <v>1</v>
      </c>
      <c r="B182" s="1" t="s">
        <v>2</v>
      </c>
      <c r="C182" s="1" t="s">
        <v>3</v>
      </c>
      <c r="D182" s="1" t="s">
        <v>4</v>
      </c>
      <c r="E182" s="1" t="s">
        <v>5</v>
      </c>
      <c r="F182" s="1" t="s">
        <v>6</v>
      </c>
      <c r="G182" s="1" t="s">
        <v>7</v>
      </c>
      <c r="H182" s="1" t="s">
        <v>8</v>
      </c>
      <c r="I182" s="1" t="s">
        <v>9</v>
      </c>
    </row>
    <row r="183" spans="1:9" ht="14" x14ac:dyDescent="0.3">
      <c r="A183" s="4"/>
      <c r="B183" s="1">
        <v>2023</v>
      </c>
      <c r="C183" s="1">
        <v>2023</v>
      </c>
      <c r="D183" s="1">
        <v>2023</v>
      </c>
      <c r="E183" s="1">
        <v>2023</v>
      </c>
      <c r="F183" s="1">
        <v>2023</v>
      </c>
      <c r="G183" s="1">
        <v>2023</v>
      </c>
      <c r="H183" s="1">
        <v>2023</v>
      </c>
      <c r="I183" s="1">
        <v>2023</v>
      </c>
    </row>
    <row r="184" spans="1:9" ht="14" x14ac:dyDescent="0.3">
      <c r="A184" s="2" t="s">
        <v>10</v>
      </c>
      <c r="B184" s="3">
        <f>12464027</f>
        <v>12464027</v>
      </c>
      <c r="C184" s="3">
        <f>0</f>
        <v>0</v>
      </c>
      <c r="D184" s="3">
        <f>0</f>
        <v>0</v>
      </c>
      <c r="E184" s="3">
        <f>(12464027+0+0)</f>
        <v>12464027</v>
      </c>
      <c r="F184" s="3">
        <f>58489</f>
        <v>58489</v>
      </c>
      <c r="G184" s="3">
        <f>11341771</f>
        <v>11341771</v>
      </c>
      <c r="H184" s="3">
        <f>(58489+11341771)</f>
        <v>11400260</v>
      </c>
      <c r="I184" s="3">
        <f>((12464027+0+0)-(58489+11341771))</f>
        <v>1063767</v>
      </c>
    </row>
    <row r="185" spans="1:9" ht="14" x14ac:dyDescent="0.3">
      <c r="A185" s="2" t="s">
        <v>11</v>
      </c>
      <c r="B185" s="3">
        <f>2691105</f>
        <v>2691105</v>
      </c>
      <c r="C185" s="3">
        <f>0</f>
        <v>0</v>
      </c>
      <c r="D185" s="3">
        <f>0</f>
        <v>0</v>
      </c>
      <c r="E185" s="3">
        <f>(2691105+0+0)</f>
        <v>2691105</v>
      </c>
      <c r="F185" s="3">
        <f>0</f>
        <v>0</v>
      </c>
      <c r="G185" s="3">
        <f>25172</f>
        <v>25172</v>
      </c>
      <c r="H185" s="3">
        <f>(0+25172)</f>
        <v>25172</v>
      </c>
      <c r="I185" s="3">
        <f>((2691105+0+0)-(0+25172))</f>
        <v>2665933</v>
      </c>
    </row>
    <row r="186" spans="1:9" ht="14" x14ac:dyDescent="0.3">
      <c r="A186" s="2" t="s">
        <v>12</v>
      </c>
      <c r="B186" s="3">
        <f>3444028</f>
        <v>3444028</v>
      </c>
      <c r="C186" s="3">
        <f>0</f>
        <v>0</v>
      </c>
      <c r="D186" s="3">
        <f>0</f>
        <v>0</v>
      </c>
      <c r="E186" s="3">
        <f>(3444028+0+0)</f>
        <v>3444028</v>
      </c>
      <c r="F186" s="3">
        <f>0</f>
        <v>0</v>
      </c>
      <c r="G186" s="3">
        <f>2792172</f>
        <v>2792172</v>
      </c>
      <c r="H186" s="3">
        <f>(0+2792172)</f>
        <v>2792172</v>
      </c>
      <c r="I186" s="3">
        <f>((3444028+0+0)-(0+2792172))</f>
        <v>651856</v>
      </c>
    </row>
    <row r="187" spans="1:9" ht="14" x14ac:dyDescent="0.3">
      <c r="A187" s="2" t="s">
        <v>13</v>
      </c>
      <c r="B187" s="3">
        <f>595964</f>
        <v>595964</v>
      </c>
      <c r="C187" s="3">
        <f>0</f>
        <v>0</v>
      </c>
      <c r="D187" s="3">
        <f>0</f>
        <v>0</v>
      </c>
      <c r="E187" s="3">
        <f>(595964+0+0)</f>
        <v>595964</v>
      </c>
      <c r="F187" s="3">
        <f>725</f>
        <v>725</v>
      </c>
      <c r="G187" s="3">
        <f>67084</f>
        <v>67084</v>
      </c>
      <c r="H187" s="3">
        <f>(725+67084)</f>
        <v>67809</v>
      </c>
      <c r="I187" s="3">
        <f>((595964+0+0)-(725+67084))</f>
        <v>528155</v>
      </c>
    </row>
    <row r="188" spans="1:9" ht="14" x14ac:dyDescent="0.3">
      <c r="A188" s="2" t="s">
        <v>14</v>
      </c>
      <c r="B188" s="3">
        <f>167862</f>
        <v>167862</v>
      </c>
      <c r="C188" s="3">
        <f>0</f>
        <v>0</v>
      </c>
      <c r="D188" s="3">
        <f>0</f>
        <v>0</v>
      </c>
      <c r="E188" s="3">
        <f>(167862+0+0)</f>
        <v>167862</v>
      </c>
      <c r="F188" s="3">
        <f>10304</f>
        <v>10304</v>
      </c>
      <c r="G188" s="3">
        <f>87783</f>
        <v>87783</v>
      </c>
      <c r="H188" s="3">
        <f>(10304+87783)</f>
        <v>98087</v>
      </c>
      <c r="I188" s="3">
        <f>((167862+0+0)-(10304+87783))</f>
        <v>69775</v>
      </c>
    </row>
    <row r="189" spans="1:9" ht="14" x14ac:dyDescent="0.3">
      <c r="A189" s="2" t="s">
        <v>15</v>
      </c>
      <c r="B189" s="3">
        <f>1121715</f>
        <v>1121715</v>
      </c>
      <c r="C189" s="3">
        <f>0</f>
        <v>0</v>
      </c>
      <c r="D189" s="3">
        <f>0</f>
        <v>0</v>
      </c>
      <c r="E189" s="3">
        <f>(1121715+0+0)</f>
        <v>1121715</v>
      </c>
      <c r="F189" s="3">
        <f>0</f>
        <v>0</v>
      </c>
      <c r="G189" s="3">
        <f>529552</f>
        <v>529552</v>
      </c>
      <c r="H189" s="3">
        <f>(0+529552)</f>
        <v>529552</v>
      </c>
      <c r="I189" s="3">
        <f>((1121715+0+0)-(0+529552))</f>
        <v>592163</v>
      </c>
    </row>
    <row r="190" spans="1:9" ht="14" x14ac:dyDescent="0.3">
      <c r="A190" s="2" t="s">
        <v>16</v>
      </c>
      <c r="B190" s="3">
        <f>209916</f>
        <v>209916</v>
      </c>
      <c r="C190" s="3">
        <f>0</f>
        <v>0</v>
      </c>
      <c r="D190" s="3">
        <f>0</f>
        <v>0</v>
      </c>
      <c r="E190" s="3">
        <f>(209916+0+0)</f>
        <v>209916</v>
      </c>
      <c r="F190" s="3">
        <f>10690</f>
        <v>10690</v>
      </c>
      <c r="G190" s="3">
        <f>166661</f>
        <v>166661</v>
      </c>
      <c r="H190" s="3">
        <f>(10690+166661)</f>
        <v>177351</v>
      </c>
      <c r="I190" s="3">
        <f>((209916+0+0)-(10690+166661))</f>
        <v>32565</v>
      </c>
    </row>
    <row r="191" spans="1:9" ht="14" x14ac:dyDescent="0.3">
      <c r="A191" s="2" t="s">
        <v>17</v>
      </c>
      <c r="B191" s="3">
        <f>17284</f>
        <v>17284</v>
      </c>
      <c r="C191" s="3">
        <f>0</f>
        <v>0</v>
      </c>
      <c r="D191" s="3">
        <f>0</f>
        <v>0</v>
      </c>
      <c r="E191" s="3">
        <f>(17284+0+0)</f>
        <v>17284</v>
      </c>
      <c r="F191" s="3">
        <f>0</f>
        <v>0</v>
      </c>
      <c r="G191" s="3">
        <f>3764</f>
        <v>3764</v>
      </c>
      <c r="H191" s="3">
        <f>(0+3764)</f>
        <v>3764</v>
      </c>
      <c r="I191" s="3">
        <f>((17284+0+0)-(0+3764))</f>
        <v>13520</v>
      </c>
    </row>
    <row r="192" spans="1:9" ht="14" x14ac:dyDescent="0.3">
      <c r="A192" s="2" t="s">
        <v>18</v>
      </c>
      <c r="B192" s="3">
        <f>15606</f>
        <v>15606</v>
      </c>
      <c r="C192" s="3">
        <f>0</f>
        <v>0</v>
      </c>
      <c r="D192" s="3">
        <f>0</f>
        <v>0</v>
      </c>
      <c r="E192" s="3">
        <f>(15606+0+0)</f>
        <v>15606</v>
      </c>
      <c r="F192" s="3">
        <f>0</f>
        <v>0</v>
      </c>
      <c r="G192" s="3">
        <f>12385</f>
        <v>12385</v>
      </c>
      <c r="H192" s="3">
        <f>(0+12385)</f>
        <v>12385</v>
      </c>
      <c r="I192" s="3">
        <f>((15606+0+0)-(0+12385))</f>
        <v>3221</v>
      </c>
    </row>
    <row r="193" spans="1:9" ht="14" x14ac:dyDescent="0.3">
      <c r="A193" s="2" t="s">
        <v>19</v>
      </c>
      <c r="B193" s="3">
        <f>271180</f>
        <v>271180</v>
      </c>
      <c r="C193" s="3">
        <f>0</f>
        <v>0</v>
      </c>
      <c r="D193" s="3">
        <f>0</f>
        <v>0</v>
      </c>
      <c r="E193" s="3">
        <f>(271180+0+0)</f>
        <v>271180</v>
      </c>
      <c r="F193" s="3">
        <f>6822</f>
        <v>6822</v>
      </c>
      <c r="G193" s="3">
        <f>213521</f>
        <v>213521</v>
      </c>
      <c r="H193" s="3">
        <f>(6822+213521)</f>
        <v>220343</v>
      </c>
      <c r="I193" s="3">
        <f>((271180+0+0)-(6822+213521))</f>
        <v>50837</v>
      </c>
    </row>
    <row r="194" spans="1:9" ht="14" x14ac:dyDescent="0.3">
      <c r="A194" s="2" t="s">
        <v>20</v>
      </c>
      <c r="B194" s="3">
        <f>426141</f>
        <v>426141</v>
      </c>
      <c r="C194" s="3">
        <f>0</f>
        <v>0</v>
      </c>
      <c r="D194" s="3">
        <f>10038</f>
        <v>10038</v>
      </c>
      <c r="E194" s="3">
        <f>(426141+0+10038)</f>
        <v>436179</v>
      </c>
      <c r="F194" s="3">
        <f>3437</f>
        <v>3437</v>
      </c>
      <c r="G194" s="3">
        <f>410214</f>
        <v>410214</v>
      </c>
      <c r="H194" s="3">
        <f>(3437+410214)</f>
        <v>413651</v>
      </c>
      <c r="I194" s="3">
        <f>((426141+0+10038)-(3437+410214))</f>
        <v>22528</v>
      </c>
    </row>
    <row r="195" spans="1:9" ht="14" x14ac:dyDescent="0.3">
      <c r="A195" s="2" t="s">
        <v>21</v>
      </c>
      <c r="B195" s="3">
        <f>0</f>
        <v>0</v>
      </c>
      <c r="C195" s="3">
        <f>0</f>
        <v>0</v>
      </c>
      <c r="D195" s="3">
        <f>0</f>
        <v>0</v>
      </c>
      <c r="E195" s="3">
        <f>(0+0+0)</f>
        <v>0</v>
      </c>
      <c r="F195" s="3">
        <f>0</f>
        <v>0</v>
      </c>
      <c r="G195" s="3">
        <f>0</f>
        <v>0</v>
      </c>
      <c r="H195" s="3">
        <f>(0+0)</f>
        <v>0</v>
      </c>
      <c r="I195" s="3">
        <f>((0+0+0)-(0+0))</f>
        <v>0</v>
      </c>
    </row>
    <row r="196" spans="1:9" ht="14" x14ac:dyDescent="0.3">
      <c r="A196" s="2" t="s">
        <v>22</v>
      </c>
      <c r="B196" s="3">
        <f>3894066</f>
        <v>3894066</v>
      </c>
      <c r="C196" s="3">
        <f>0</f>
        <v>0</v>
      </c>
      <c r="D196" s="3">
        <f>0</f>
        <v>0</v>
      </c>
      <c r="E196" s="3">
        <f>(3894066+0+0)</f>
        <v>3894066</v>
      </c>
      <c r="F196" s="3">
        <f>0</f>
        <v>0</v>
      </c>
      <c r="G196" s="3">
        <f>2017108</f>
        <v>2017108</v>
      </c>
      <c r="H196" s="3">
        <f>(0+2017108)</f>
        <v>2017108</v>
      </c>
      <c r="I196" s="3">
        <f>((3894066+0+0)-(0+2017108))</f>
        <v>1876958</v>
      </c>
    </row>
    <row r="197" spans="1:9" ht="14" x14ac:dyDescent="0.3">
      <c r="A197" s="2" t="s">
        <v>23</v>
      </c>
      <c r="B197" s="3">
        <f>397363</f>
        <v>397363</v>
      </c>
      <c r="C197" s="3">
        <f>0</f>
        <v>0</v>
      </c>
      <c r="D197" s="3">
        <f>0</f>
        <v>0</v>
      </c>
      <c r="E197" s="3">
        <f>(397363+0+0)</f>
        <v>397363</v>
      </c>
      <c r="F197" s="3">
        <f>0</f>
        <v>0</v>
      </c>
      <c r="G197" s="3">
        <f>372266</f>
        <v>372266</v>
      </c>
      <c r="H197" s="3">
        <f>(0+372266)</f>
        <v>372266</v>
      </c>
      <c r="I197" s="3">
        <f>((397363+0+0)-(0+372266))</f>
        <v>25097</v>
      </c>
    </row>
    <row r="198" spans="1:9" ht="14" x14ac:dyDescent="0.3">
      <c r="A198" s="2" t="s">
        <v>24</v>
      </c>
      <c r="B198" s="3">
        <f>246424</f>
        <v>246424</v>
      </c>
      <c r="C198" s="3">
        <f>0</f>
        <v>0</v>
      </c>
      <c r="D198" s="3">
        <f>0</f>
        <v>0</v>
      </c>
      <c r="E198" s="3">
        <f>(246424+0+0)</f>
        <v>246424</v>
      </c>
      <c r="F198" s="3">
        <f>0</f>
        <v>0</v>
      </c>
      <c r="G198" s="3">
        <f>213146</f>
        <v>213146</v>
      </c>
      <c r="H198" s="3">
        <f>(0+213146)</f>
        <v>213146</v>
      </c>
      <c r="I198" s="3">
        <f>((246424+0+0)-(0+213146))</f>
        <v>33278</v>
      </c>
    </row>
    <row r="199" spans="1:9" ht="14" x14ac:dyDescent="0.3">
      <c r="A199" s="2" t="s">
        <v>25</v>
      </c>
      <c r="B199" s="3">
        <f>226133</f>
        <v>226133</v>
      </c>
      <c r="C199" s="3">
        <f>0</f>
        <v>0</v>
      </c>
      <c r="D199" s="3">
        <f>0</f>
        <v>0</v>
      </c>
      <c r="E199" s="3">
        <f>(226133+0+0)</f>
        <v>226133</v>
      </c>
      <c r="F199" s="3">
        <f>33168</f>
        <v>33168</v>
      </c>
      <c r="G199" s="3">
        <f>78429</f>
        <v>78429</v>
      </c>
      <c r="H199" s="3">
        <f>(33168+78429)</f>
        <v>111597</v>
      </c>
      <c r="I199" s="3">
        <f>((226133+0+0)-(33168+78429))</f>
        <v>114536</v>
      </c>
    </row>
    <row r="200" spans="1:9" ht="14" x14ac:dyDescent="0.3">
      <c r="A200" s="2" t="s">
        <v>26</v>
      </c>
      <c r="B200" s="3">
        <f>1162442</f>
        <v>1162442</v>
      </c>
      <c r="C200" s="3">
        <f>15563</f>
        <v>15563</v>
      </c>
      <c r="D200" s="3">
        <f>0</f>
        <v>0</v>
      </c>
      <c r="E200" s="3">
        <f>(1162442+15563+0)</f>
        <v>1178005</v>
      </c>
      <c r="F200" s="3">
        <f>0</f>
        <v>0</v>
      </c>
      <c r="G200" s="3">
        <f>30804</f>
        <v>30804</v>
      </c>
      <c r="H200" s="3">
        <f>(0+30804)</f>
        <v>30804</v>
      </c>
      <c r="I200" s="3">
        <f>((1162442+15563+0)-(0+30804))</f>
        <v>1147201</v>
      </c>
    </row>
  </sheetData>
  <mergeCells count="20">
    <mergeCell ref="A121:I121"/>
    <mergeCell ref="A141:I141"/>
    <mergeCell ref="A161:I161"/>
    <mergeCell ref="A181:I181"/>
    <mergeCell ref="A122:A123"/>
    <mergeCell ref="A142:A143"/>
    <mergeCell ref="A162:A163"/>
    <mergeCell ref="A182:A183"/>
    <mergeCell ref="A1:I1"/>
    <mergeCell ref="A21:I21"/>
    <mergeCell ref="A41:I41"/>
    <mergeCell ref="A61:I61"/>
    <mergeCell ref="A81:I81"/>
    <mergeCell ref="A101:I101"/>
    <mergeCell ref="A2:A3"/>
    <mergeCell ref="A22:A23"/>
    <mergeCell ref="A42:A43"/>
    <mergeCell ref="A62:A63"/>
    <mergeCell ref="A82:A83"/>
    <mergeCell ref="A102:A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vt:lpstr>
      <vt:lpstr>المتغيرات </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2025-05-28T05:49:38Z</dcterms:created>
  <dcterms:modified xsi:type="dcterms:W3CDTF">2025-05-28T05:49:38Z</dcterms:modified>
</cp:coreProperties>
</file>